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13_ncr:1_{0405359F-FC3E-EE42-BB57-735154C99B5F}" xr6:coauthVersionLast="47" xr6:coauthVersionMax="47" xr10:uidLastSave="{00000000-0000-0000-0000-000000000000}"/>
  <bookViews>
    <workbookView xWindow="0" yWindow="760" windowWidth="30000" windowHeight="17560" xr2:uid="{00000000-000D-0000-FFFF-FFFF00000000}"/>
  </bookViews>
  <sheets>
    <sheet name="상반기 예산안 (태울석림제, 운영비)" sheetId="1" r:id="rId1"/>
    <sheet name="카포전 예산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1oXZ9I2zHoAiDRwS8ddzDNMLdYw=="/>
    </ext>
  </extLst>
</workbook>
</file>

<file path=xl/calcChain.xml><?xml version="1.0" encoding="utf-8"?>
<calcChain xmlns="http://schemas.openxmlformats.org/spreadsheetml/2006/main">
  <c r="J92" i="1" l="1"/>
  <c r="J145" i="2"/>
  <c r="I145" i="2"/>
  <c r="K144" i="2"/>
  <c r="K143" i="2"/>
  <c r="J140" i="2"/>
  <c r="I140" i="2"/>
  <c r="K139" i="2"/>
  <c r="K138" i="2"/>
  <c r="J134" i="2"/>
  <c r="J135" i="2" s="1"/>
  <c r="I133" i="2"/>
  <c r="I135" i="2" s="1"/>
  <c r="J122" i="2"/>
  <c r="K122" i="2" s="1"/>
  <c r="J121" i="2"/>
  <c r="K121" i="2" s="1"/>
  <c r="J120" i="2"/>
  <c r="K120" i="2" s="1"/>
  <c r="J117" i="2"/>
  <c r="J118" i="2" s="1"/>
  <c r="J108" i="2"/>
  <c r="J105" i="2"/>
  <c r="J109" i="2" s="1"/>
  <c r="K109" i="2" s="1"/>
  <c r="K104" i="2"/>
  <c r="K103" i="2"/>
  <c r="K102" i="2"/>
  <c r="K101" i="2"/>
  <c r="K100" i="2"/>
  <c r="K99" i="2"/>
  <c r="J97" i="2"/>
  <c r="K97" i="2" s="1"/>
  <c r="K96" i="2"/>
  <c r="J94" i="2"/>
  <c r="K93" i="2"/>
  <c r="J88" i="2"/>
  <c r="K88" i="2" s="1"/>
  <c r="J84" i="2"/>
  <c r="J81" i="2"/>
  <c r="K81" i="2" s="1"/>
  <c r="K79" i="2"/>
  <c r="J77" i="2"/>
  <c r="K77" i="2" s="1"/>
  <c r="K76" i="2"/>
  <c r="K75" i="2"/>
  <c r="J74" i="2"/>
  <c r="J71" i="2"/>
  <c r="J78" i="2" s="1"/>
  <c r="K78" i="2" s="1"/>
  <c r="K70" i="2"/>
  <c r="J66" i="2"/>
  <c r="K59" i="2"/>
  <c r="K57" i="2"/>
  <c r="J56" i="2"/>
  <c r="K56" i="2" s="1"/>
  <c r="J52" i="2"/>
  <c r="K52" i="2" s="1"/>
  <c r="K50" i="2"/>
  <c r="K49" i="2"/>
  <c r="J48" i="2"/>
  <c r="K48" i="2" s="1"/>
  <c r="K46" i="2"/>
  <c r="K45" i="2"/>
  <c r="J44" i="2"/>
  <c r="K44" i="2" s="1"/>
  <c r="K41" i="2"/>
  <c r="J39" i="2"/>
  <c r="K39" i="2" s="1"/>
  <c r="K38" i="2"/>
  <c r="K37" i="2"/>
  <c r="K36" i="2"/>
  <c r="K35" i="2"/>
  <c r="J34" i="2"/>
  <c r="I29" i="2"/>
  <c r="J26" i="2"/>
  <c r="K26" i="2" s="1"/>
  <c r="K25" i="2"/>
  <c r="K24" i="2"/>
  <c r="K23" i="2"/>
  <c r="K22" i="2"/>
  <c r="K21" i="2"/>
  <c r="K20" i="2"/>
  <c r="I15" i="2"/>
  <c r="H15" i="2"/>
  <c r="I11" i="2"/>
  <c r="H11" i="2"/>
  <c r="I128" i="2" s="1"/>
  <c r="I130" i="2" s="1"/>
  <c r="J10" i="2"/>
  <c r="I9" i="2"/>
  <c r="H9" i="2"/>
  <c r="J8" i="2"/>
  <c r="J7" i="2"/>
  <c r="J6" i="2"/>
  <c r="J5" i="2"/>
  <c r="H174" i="1"/>
  <c r="J173" i="1"/>
  <c r="I173" i="1"/>
  <c r="H173" i="1"/>
  <c r="I168" i="1"/>
  <c r="H168" i="1"/>
  <c r="H169" i="1" s="1"/>
  <c r="I163" i="1"/>
  <c r="H163" i="1"/>
  <c r="H162" i="1"/>
  <c r="H164" i="1" s="1"/>
  <c r="H158" i="1"/>
  <c r="H157" i="1"/>
  <c r="H159" i="1" s="1"/>
  <c r="I152" i="1"/>
  <c r="H152" i="1"/>
  <c r="H153" i="1" s="1"/>
  <c r="H147" i="1"/>
  <c r="H146" i="1"/>
  <c r="H148" i="1" s="1"/>
  <c r="H142" i="1"/>
  <c r="H143" i="1" s="1"/>
  <c r="H141" i="1"/>
  <c r="I135" i="1"/>
  <c r="J135" i="1" s="1"/>
  <c r="J134" i="1"/>
  <c r="I133" i="1"/>
  <c r="J133" i="1" s="1"/>
  <c r="J132" i="1"/>
  <c r="I131" i="1"/>
  <c r="J131" i="1" s="1"/>
  <c r="J130" i="1"/>
  <c r="I129" i="1"/>
  <c r="I136" i="1" s="1"/>
  <c r="J136" i="1" s="1"/>
  <c r="J128" i="1"/>
  <c r="I127" i="1"/>
  <c r="J127" i="1" s="1"/>
  <c r="J126" i="1"/>
  <c r="I124" i="1"/>
  <c r="I125" i="1" s="1"/>
  <c r="J125" i="1" s="1"/>
  <c r="J123" i="1"/>
  <c r="J122" i="1"/>
  <c r="J121" i="1"/>
  <c r="I120" i="1"/>
  <c r="J120" i="1" s="1"/>
  <c r="J119" i="1"/>
  <c r="J118" i="1"/>
  <c r="J117" i="1"/>
  <c r="J116" i="1"/>
  <c r="I114" i="1"/>
  <c r="J114" i="1" s="1"/>
  <c r="J113" i="1"/>
  <c r="J112" i="1"/>
  <c r="I111" i="1"/>
  <c r="J111" i="1" s="1"/>
  <c r="J110" i="1"/>
  <c r="I109" i="1"/>
  <c r="J109" i="1" s="1"/>
  <c r="H109" i="1"/>
  <c r="I108" i="1"/>
  <c r="J108" i="1" s="1"/>
  <c r="J107" i="1"/>
  <c r="J106" i="1"/>
  <c r="I105" i="1"/>
  <c r="J105" i="1" s="1"/>
  <c r="J104" i="1"/>
  <c r="J103" i="1"/>
  <c r="I102" i="1"/>
  <c r="J102" i="1" s="1"/>
  <c r="I101" i="1"/>
  <c r="J101" i="1" s="1"/>
  <c r="J100" i="1"/>
  <c r="J99" i="1"/>
  <c r="J98" i="1"/>
  <c r="I96" i="1"/>
  <c r="J96" i="1" s="1"/>
  <c r="J95" i="1"/>
  <c r="I94" i="1"/>
  <c r="J94" i="1" s="1"/>
  <c r="J93" i="1"/>
  <c r="I91" i="1"/>
  <c r="J91" i="1" s="1"/>
  <c r="J90" i="1"/>
  <c r="I89" i="1"/>
  <c r="I92" i="1" s="1"/>
  <c r="J88" i="1"/>
  <c r="J87" i="1"/>
  <c r="I86" i="1"/>
  <c r="J86" i="1" s="1"/>
  <c r="J85" i="1"/>
  <c r="J84" i="1"/>
  <c r="J83" i="1"/>
  <c r="I81" i="1"/>
  <c r="J81" i="1" s="1"/>
  <c r="J80" i="1"/>
  <c r="J79" i="1"/>
  <c r="J78" i="1"/>
  <c r="J77" i="1"/>
  <c r="J76" i="1"/>
  <c r="J75" i="1"/>
  <c r="I74" i="1"/>
  <c r="J74" i="1" s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8" i="1"/>
  <c r="J58" i="1" s="1"/>
  <c r="J57" i="1"/>
  <c r="I56" i="1"/>
  <c r="I59" i="1" s="1"/>
  <c r="J55" i="1"/>
  <c r="J54" i="1"/>
  <c r="I50" i="1"/>
  <c r="J50" i="1" s="1"/>
  <c r="J49" i="1"/>
  <c r="I48" i="1"/>
  <c r="J47" i="1"/>
  <c r="I45" i="1"/>
  <c r="I46" i="1" s="1"/>
  <c r="J46" i="1" s="1"/>
  <c r="J43" i="1"/>
  <c r="I41" i="1"/>
  <c r="I42" i="1" s="1"/>
  <c r="J42" i="1" s="1"/>
  <c r="J37" i="1"/>
  <c r="H36" i="1"/>
  <c r="I35" i="1"/>
  <c r="J35" i="1" s="1"/>
  <c r="J34" i="1"/>
  <c r="J33" i="1"/>
  <c r="I33" i="1"/>
  <c r="I147" i="1" s="1"/>
  <c r="J32" i="1"/>
  <c r="I27" i="1"/>
  <c r="J27" i="1" s="1"/>
  <c r="J26" i="1"/>
  <c r="J25" i="1"/>
  <c r="J24" i="1"/>
  <c r="J23" i="1"/>
  <c r="O22" i="1"/>
  <c r="J22" i="1"/>
  <c r="J21" i="1"/>
  <c r="I21" i="1"/>
  <c r="I167" i="1" s="1"/>
  <c r="J167" i="1" s="1"/>
  <c r="J20" i="1"/>
  <c r="J19" i="1"/>
  <c r="J17" i="1"/>
  <c r="J16" i="1"/>
  <c r="P15" i="1"/>
  <c r="O15" i="1"/>
  <c r="I14" i="1"/>
  <c r="J14" i="1" s="1"/>
  <c r="I11" i="1"/>
  <c r="I151" i="1" s="1"/>
  <c r="H11" i="1"/>
  <c r="J10" i="1"/>
  <c r="J9" i="1"/>
  <c r="I8" i="1"/>
  <c r="H8" i="1"/>
  <c r="J7" i="1"/>
  <c r="J6" i="1"/>
  <c r="J5" i="1"/>
  <c r="J4" i="1"/>
  <c r="K105" i="2" l="1"/>
  <c r="I169" i="1"/>
  <c r="J89" i="1"/>
  <c r="I115" i="1"/>
  <c r="J115" i="1" s="1"/>
  <c r="J152" i="1"/>
  <c r="J128" i="2"/>
  <c r="J130" i="2" s="1"/>
  <c r="K130" i="2" s="1"/>
  <c r="J98" i="2"/>
  <c r="K98" i="2" s="1"/>
  <c r="J56" i="1"/>
  <c r="H16" i="2"/>
  <c r="J8" i="1"/>
  <c r="J9" i="2"/>
  <c r="I51" i="1"/>
  <c r="J51" i="1" s="1"/>
  <c r="K145" i="2"/>
  <c r="J67" i="2"/>
  <c r="J11" i="2"/>
  <c r="J163" i="1"/>
  <c r="J29" i="2"/>
  <c r="K29" i="2" s="1"/>
  <c r="I15" i="1"/>
  <c r="I18" i="1" s="1"/>
  <c r="I146" i="1"/>
  <c r="J146" i="1" s="1"/>
  <c r="J15" i="2"/>
  <c r="J40" i="2"/>
  <c r="K40" i="2" s="1"/>
  <c r="J95" i="2"/>
  <c r="K95" i="2" s="1"/>
  <c r="J147" i="1"/>
  <c r="J119" i="2"/>
  <c r="K119" i="2" s="1"/>
  <c r="J129" i="2"/>
  <c r="K129" i="2" s="1"/>
  <c r="K135" i="2"/>
  <c r="J151" i="1"/>
  <c r="I153" i="1"/>
  <c r="J153" i="1" s="1"/>
  <c r="J59" i="1"/>
  <c r="I82" i="1"/>
  <c r="J82" i="1" s="1"/>
  <c r="I97" i="1"/>
  <c r="J97" i="1" s="1"/>
  <c r="I16" i="2"/>
  <c r="J41" i="1"/>
  <c r="J48" i="1"/>
  <c r="J129" i="1"/>
  <c r="K71" i="2"/>
  <c r="K133" i="2"/>
  <c r="J45" i="1"/>
  <c r="I172" i="1"/>
  <c r="K134" i="2"/>
  <c r="J124" i="1"/>
  <c r="J168" i="1"/>
  <c r="I12" i="1"/>
  <c r="J11" i="1"/>
  <c r="I36" i="1"/>
  <c r="K66" i="2"/>
  <c r="K94" i="2"/>
  <c r="J16" i="2" l="1"/>
  <c r="J15" i="1"/>
  <c r="K128" i="2"/>
  <c r="I148" i="1"/>
  <c r="J148" i="1" s="1"/>
  <c r="J172" i="1"/>
  <c r="I174" i="1"/>
  <c r="J174" i="1" s="1"/>
  <c r="I137" i="1"/>
  <c r="I28" i="1"/>
  <c r="J18" i="1"/>
  <c r="I162" i="1"/>
  <c r="J36" i="1"/>
  <c r="I52" i="1"/>
  <c r="I141" i="1"/>
  <c r="J12" i="1"/>
  <c r="J141" i="1" l="1"/>
  <c r="I143" i="1"/>
  <c r="J143" i="1" s="1"/>
  <c r="J52" i="1"/>
  <c r="I142" i="1"/>
  <c r="J142" i="1" s="1"/>
  <c r="I164" i="1"/>
  <c r="J164" i="1" s="1"/>
  <c r="J162" i="1"/>
  <c r="J28" i="1"/>
  <c r="I157" i="1"/>
  <c r="J137" i="1"/>
  <c r="I158" i="1"/>
  <c r="J158" i="1" s="1"/>
  <c r="I159" i="1" l="1"/>
  <c r="J159" i="1" s="1"/>
  <c r="J157" i="1"/>
</calcChain>
</file>

<file path=xl/sharedStrings.xml><?xml version="1.0" encoding="utf-8"?>
<sst xmlns="http://schemas.openxmlformats.org/spreadsheetml/2006/main" count="830" uniqueCount="366">
  <si>
    <t xml:space="preserve">                 </t>
  </si>
  <si>
    <t>수입</t>
  </si>
  <si>
    <t>기구명</t>
  </si>
  <si>
    <t>출처</t>
  </si>
  <si>
    <t>항목</t>
  </si>
  <si>
    <t>코드</t>
  </si>
  <si>
    <t>2019 상반기 결산</t>
  </si>
  <si>
    <t>2022 상반기 예산</t>
  </si>
  <si>
    <t>집행률</t>
  </si>
  <si>
    <t>비고</t>
  </si>
  <si>
    <t>행사준비위원회
상상효과 운영비</t>
  </si>
  <si>
    <t>학생</t>
  </si>
  <si>
    <t>전반기 이월금</t>
  </si>
  <si>
    <t>AA</t>
  </si>
  <si>
    <t>중앙회계 운영비 지원금</t>
  </si>
  <si>
    <t>AB</t>
  </si>
  <si>
    <t>전반기 이월금이 운영비보다 많기 때문에 상반기 운영비 지원금 없이 전반기 이월금으로 사용하겠습니다.</t>
  </si>
  <si>
    <t>격려금</t>
  </si>
  <si>
    <t>AC</t>
  </si>
  <si>
    <t>-</t>
  </si>
  <si>
    <t>예금 결산 이자</t>
  </si>
  <si>
    <t>AD</t>
  </si>
  <si>
    <t>계</t>
  </si>
  <si>
    <t>본회계</t>
  </si>
  <si>
    <t>여름 LT 보조금</t>
  </si>
  <si>
    <t>BA</t>
  </si>
  <si>
    <t>단실컴퓨터교체비용</t>
  </si>
  <si>
    <t>BB</t>
  </si>
  <si>
    <t>운영비 총계</t>
  </si>
  <si>
    <t>_x0008_항목</t>
  </si>
  <si>
    <t>2021 석림태울제 결산</t>
  </si>
  <si>
    <t>2022 태울석림제 예산</t>
  </si>
  <si>
    <t>2022 KAIST 
태울석림제 기획단</t>
  </si>
  <si>
    <t>2019년도 태울석림제 이월금</t>
  </si>
  <si>
    <t>참고</t>
  </si>
  <si>
    <t>학생회비 예산안</t>
  </si>
  <si>
    <t>이월금</t>
  </si>
  <si>
    <t>전야제 수익금</t>
  </si>
  <si>
    <t>_x0008_원총 지원금</t>
  </si>
  <si>
    <t>중앙회계 축제 지원금</t>
  </si>
  <si>
    <t>운영비의 경우, 학교의 대면 방침에 따라 대면으로 진행되던 19년도의 운영비 결산안을 참고하여 작성하였습니다. 
COVID -19에 대한 상황이 완전히 종식되지 않아 축제를 2019, 2018 석림태울제(태울석림제)와 같이 완전 대면 방식으로 진행하기에 무리가 있을 것이라고 생각합니다. 이러한 점을 고려하여 봄에는 작은 규모로. 가을에 큰 규모로 진행할 예정이며 따라서 비대면으로 진행되었던 2021 석림태울제 결산안을 참고하였습니다.</t>
  </si>
  <si>
    <t>예금결산이자</t>
  </si>
  <si>
    <t>결제 실수 반환금</t>
  </si>
  <si>
    <t>축제 지원금</t>
  </si>
  <si>
    <t>문화자치기금 지원금</t>
  </si>
  <si>
    <t>본예산 sum</t>
  </si>
  <si>
    <t>자치</t>
  </si>
  <si>
    <t>CA</t>
  </si>
  <si>
    <t>동아리부스 대여비</t>
  </si>
  <si>
    <t>CB</t>
  </si>
  <si>
    <t>동아리들에게 돈을 지불하고 다시 돌려받는 금액이라 아직 알 수 없습니다.</t>
  </si>
  <si>
    <t>교내업체 후원금</t>
  </si>
  <si>
    <t>CC</t>
  </si>
  <si>
    <t>쿠폰을 제외한 돈으로 지원해주시는 업체분들에게 받을 금액이기 때문에 아직 알 수 없습니다.</t>
  </si>
  <si>
    <t>신학관 보증금</t>
  </si>
  <si>
    <t>CD</t>
  </si>
  <si>
    <t>대학원생 총학생회 지원금</t>
  </si>
  <si>
    <t>CE</t>
  </si>
  <si>
    <t>대학원생 총학생회에서 지원받는 금액입니다.</t>
  </si>
  <si>
    <t>총계</t>
  </si>
  <si>
    <t>지출</t>
  </si>
  <si>
    <t>담당(담당부서 or 담당인)</t>
  </si>
  <si>
    <t>사업명(대분류)</t>
  </si>
  <si>
    <t>세부항목</t>
  </si>
  <si>
    <t>행사준비위원회 상상효과 (위원장 김윤서)</t>
  </si>
  <si>
    <t>사무국
(국장 이동재)</t>
  </si>
  <si>
    <t>사무 물품</t>
  </si>
  <si>
    <t>A4</t>
  </si>
  <si>
    <t>A1</t>
  </si>
  <si>
    <t>인쇄비</t>
  </si>
  <si>
    <t>토너</t>
  </si>
  <si>
    <t>B1</t>
  </si>
  <si>
    <t>합계</t>
  </si>
  <si>
    <t>복지국
(국장 이경진)</t>
  </si>
  <si>
    <t>교통비</t>
  </si>
  <si>
    <t>C1</t>
  </si>
  <si>
    <t>_x0008_코로나 상황이 안정화되지 않으면 취소할 계획입니다.</t>
  </si>
  <si>
    <t>축제체험비</t>
  </si>
  <si>
    <t>C2</t>
  </si>
  <si>
    <t>숙소비</t>
  </si>
  <si>
    <t>C3</t>
  </si>
  <si>
    <t>식대비</t>
  </si>
  <si>
    <t>C4</t>
  </si>
  <si>
    <t>소통국
(국장 임재민)</t>
  </si>
  <si>
    <t>해오름식</t>
  </si>
  <si>
    <t>홍보비</t>
  </si>
  <si>
    <t>D1</t>
  </si>
  <si>
    <t>올해는 해오름식을 진행하지 않았습니다.</t>
  </si>
  <si>
    <t>음식비</t>
  </si>
  <si>
    <t>D2</t>
  </si>
  <si>
    <t>위원장
(김윤서)</t>
  </si>
  <si>
    <t>예비비</t>
  </si>
  <si>
    <t>E1</t>
  </si>
  <si>
    <t>F1</t>
  </si>
  <si>
    <t>상상효과 운영비 총계</t>
  </si>
  <si>
    <t>소항목</t>
  </si>
  <si>
    <t>비율</t>
  </si>
  <si>
    <t>2022 KAIST 태울석림제 기획단 (기획단장 김윤서)</t>
  </si>
  <si>
    <t>무대팀
(팀장 신승민, 임재민)</t>
  </si>
  <si>
    <t>부스 및 천막 관리</t>
  </si>
  <si>
    <t>부스 설치 비용</t>
  </si>
  <si>
    <t>물품 파손 및 분실 청구 비용</t>
  </si>
  <si>
    <t>A2</t>
  </si>
  <si>
    <t>무대 설치 과정에서 생길 수 있는 물품 파손 및 분실을 위한 금액입니다.</t>
  </si>
  <si>
    <t>부스 주변물품 구매</t>
  </si>
  <si>
    <t>무대 진행</t>
  </si>
  <si>
    <t>가수초청비</t>
  </si>
  <si>
    <t>코로나로 인해서 진행하지 못했습니다.</t>
  </si>
  <si>
    <t>무대 구조물 설치 비용</t>
  </si>
  <si>
    <t>SUM 진행 비용</t>
  </si>
  <si>
    <t>SUM 우승 상금</t>
  </si>
  <si>
    <t>SUM 참여 이벤트</t>
  </si>
  <si>
    <t>C5</t>
  </si>
  <si>
    <t>MC 섭외 비용</t>
  </si>
  <si>
    <t>C6</t>
  </si>
  <si>
    <t>무대 프로그램 진행</t>
  </si>
  <si>
    <t>C7</t>
  </si>
  <si>
    <t>버스킹 무대 진행과 무대 프로그램 진행 및 상품을 위한 금액입니다.</t>
  </si>
  <si>
    <r>
      <rPr>
        <sz val="10"/>
        <color theme="1"/>
        <rFont val="Arial"/>
        <family val="2"/>
      </rPr>
      <t>무대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프로그램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상품비</t>
    </r>
  </si>
  <si>
    <t>C8</t>
  </si>
  <si>
    <t>태울가요제 지원</t>
  </si>
  <si>
    <t>C9</t>
  </si>
  <si>
    <t>앞으로 상상효과는 태울가요제를 지원하지 않습니다.</t>
  </si>
  <si>
    <t>무대 조명료</t>
  </si>
  <si>
    <t>C10</t>
  </si>
  <si>
    <t>버스킹 무대를 위한 조명과 음향, 세션을 위한 금액입니다.</t>
  </si>
  <si>
    <t>무대 음향료</t>
  </si>
  <si>
    <t>C11</t>
  </si>
  <si>
    <t>무대 촬영 및 송출료</t>
  </si>
  <si>
    <t>C12</t>
  </si>
  <si>
    <t>무대 인건비</t>
  </si>
  <si>
    <t>C13</t>
  </si>
  <si>
    <t>세션 (악기 및 기술 비용)</t>
  </si>
  <si>
    <t>C14</t>
  </si>
  <si>
    <t>무대준비</t>
  </si>
  <si>
    <t>인근 주민 양해문</t>
  </si>
  <si>
    <t>소음 관련 양해문을 위한 금액입니다.</t>
  </si>
  <si>
    <t>안전관리물품 구입</t>
  </si>
  <si>
    <t>무대 안전 관리 물품 및 코로나 방역 물품 구입을 위한 금액입니다.</t>
  </si>
  <si>
    <t>SUM 간담회 지원</t>
  </si>
  <si>
    <t>D3</t>
  </si>
  <si>
    <t>무대방역비</t>
  </si>
  <si>
    <t>D4</t>
  </si>
  <si>
    <t>무대보험비</t>
  </si>
  <si>
    <t>D5</t>
  </si>
  <si>
    <t>MINISUM 진행비용</t>
  </si>
  <si>
    <t>D6</t>
  </si>
  <si>
    <t>전야제팀</t>
  </si>
  <si>
    <t>전야제 진행</t>
  </si>
  <si>
    <t>이벤트 및 행사 진행</t>
  </si>
  <si>
    <t>2022 태울석림제에서는 전야제를 진행하지 않았습니다.</t>
  </si>
  <si>
    <t>이벤트 상품</t>
  </si>
  <si>
    <t>E2</t>
  </si>
  <si>
    <t>신학관 디자인</t>
  </si>
  <si>
    <t>E3</t>
  </si>
  <si>
    <t>전야제 음식</t>
  </si>
  <si>
    <t>맥주 및 주류</t>
  </si>
  <si>
    <t>음식 및 안주</t>
  </si>
  <si>
    <t>F2</t>
  </si>
  <si>
    <t>신학솬 보증금</t>
  </si>
  <si>
    <t>G1</t>
  </si>
  <si>
    <t>사무팀
(팀장 이경진)</t>
  </si>
  <si>
    <t>사무용품</t>
  </si>
  <si>
    <t>H1</t>
  </si>
  <si>
    <t>I1</t>
  </si>
  <si>
    <t>디자인홍보팀
(팀장 박서경, 이수민)</t>
  </si>
  <si>
    <t>홍보물 인쇄</t>
  </si>
  <si>
    <t>포스터</t>
  </si>
  <si>
    <t>J1</t>
  </si>
  <si>
    <t>책자 및 리플렛</t>
  </si>
  <si>
    <t>J2</t>
  </si>
  <si>
    <t>현수막(동아리, 상상효과)</t>
  </si>
  <si>
    <t>J3</t>
  </si>
  <si>
    <t>축제 당일 기념품</t>
  </si>
  <si>
    <t>굿즈</t>
  </si>
  <si>
    <t>K1</t>
  </si>
  <si>
    <t>_x0008_작년 상상효과 굿즈가 인기가 많아 굿즈 수량을 늘려 많은 학생들이 굿즈를 받아갈 수 있게 가격을 측정했습니다.</t>
  </si>
  <si>
    <t>기념품</t>
  </si>
  <si>
    <t>K2</t>
  </si>
  <si>
    <t>축제 홍보</t>
  </si>
  <si>
    <t>홍보이벤트(상품포함)</t>
  </si>
  <si>
    <t>L1</t>
  </si>
  <si>
    <t>축제 홍보를 위한 금액입니다.</t>
  </si>
  <si>
    <t>판넬제작</t>
  </si>
  <si>
    <t>L2</t>
  </si>
  <si>
    <t>_x0008_캠퍼스디자인팀
(팀장 정연종)</t>
  </si>
  <si>
    <t>캠퍼스 디자인</t>
  </si>
  <si>
    <t>M1</t>
  </si>
  <si>
    <t>프로그램팀
(팀장 구교민, 김시은, 이동재)</t>
  </si>
  <si>
    <t>축제 컨텐츠 공모전</t>
  </si>
  <si>
    <t>컨텐츠 공모전</t>
  </si>
  <si>
    <t>N1</t>
  </si>
  <si>
    <t>프로그램</t>
  </si>
  <si>
    <t>프로그램 1</t>
  </si>
  <si>
    <t>O1</t>
  </si>
  <si>
    <t>프로그램 2</t>
  </si>
  <si>
    <t>O2</t>
  </si>
  <si>
    <t>프로그램 3</t>
  </si>
  <si>
    <t>O3</t>
  </si>
  <si>
    <t>대형부스</t>
  </si>
  <si>
    <t>O4</t>
  </si>
  <si>
    <t>부스 상품</t>
  </si>
  <si>
    <t>간식 나눔 이벤트</t>
  </si>
  <si>
    <t>P1</t>
  </si>
  <si>
    <t>축제 변경 후 변화된 본회계 항목입니다.</t>
  </si>
  <si>
    <t>대면 부스 운영</t>
  </si>
  <si>
    <t>P2</t>
  </si>
  <si>
    <t>대면 부스 운영을 위한 비용입니다.</t>
  </si>
  <si>
    <t>프로그램상품</t>
  </si>
  <si>
    <t>P3</t>
  </si>
  <si>
    <t>대면 부스 및 비대면 프로그램 상품비입니다. 
(전야제 수익금 + 원총 지원금)
19년도에는 학생이었지만 22년에는 자치로 진행됩니다.</t>
  </si>
  <si>
    <t>기획단 운영비
(단장 김윤서)</t>
  </si>
  <si>
    <t>기획단 발대식</t>
  </si>
  <si>
    <t>Q1</t>
  </si>
  <si>
    <t>단체 티셔츠</t>
  </si>
  <si>
    <t>단체티셔츠</t>
  </si>
  <si>
    <t>R1</t>
  </si>
  <si>
    <t>축제 당일 기획단이 입을 티셔츠를 위한 금액입니다.</t>
  </si>
  <si>
    <t>당일 식비</t>
  </si>
  <si>
    <t>당일식비</t>
  </si>
  <si>
    <t>S1</t>
  </si>
  <si>
    <t>축제 당일 기획단 식사를 위한 금액입니다.</t>
  </si>
  <si>
    <t>T1</t>
  </si>
  <si>
    <t>전체회식비</t>
  </si>
  <si>
    <t>기획단 회식비</t>
  </si>
  <si>
    <t>U1</t>
  </si>
  <si>
    <t>축제 이후 피드백 정리 및 회식을 위한 금액입니다.</t>
  </si>
  <si>
    <t>석림태울제 총계</t>
  </si>
  <si>
    <t>전체 대항목 총계입니다</t>
  </si>
  <si>
    <t>2022 상반기 행사준비위원회 상상효과 운영비</t>
  </si>
  <si>
    <t>수익</t>
  </si>
  <si>
    <t>잔액</t>
  </si>
  <si>
    <t>전년도 대비</t>
  </si>
  <si>
    <t>2022 상반기 행사준비위원회 상상효과 석림태울제</t>
  </si>
  <si>
    <t>2022 석림태울제 예산</t>
  </si>
  <si>
    <t>사업명</t>
  </si>
  <si>
    <t>2018년도 결산</t>
  </si>
  <si>
    <t>2022년도 예산</t>
  </si>
  <si>
    <t>2022 카포전</t>
  </si>
  <si>
    <t>학생회비</t>
  </si>
  <si>
    <t>태울석림제, 총학 대출</t>
  </si>
  <si>
    <t>후원금 미입금으로 인해 돈을 빌림</t>
  </si>
  <si>
    <t>교내 업체 자치</t>
  </si>
  <si>
    <t>₩ -</t>
  </si>
  <si>
    <t>넷마블 자치</t>
  </si>
  <si>
    <t>과거 후원금 남은 금액</t>
  </si>
  <si>
    <t>하이트 자치</t>
  </si>
  <si>
    <t>카포전 총계</t>
  </si>
  <si>
    <t>2022 출처</t>
  </si>
  <si>
    <t>항목(소분류)</t>
  </si>
  <si>
    <t>2018 결산</t>
  </si>
  <si>
    <t>2022 예산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</si>
  <si>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</si>
  <si>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</si>
  <si>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</si>
  <si>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</si>
  <si>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서포터즈 숙소비</t>
  </si>
  <si>
    <t>서포터즈 아침식사</t>
  </si>
  <si>
    <t>A3</t>
  </si>
  <si>
    <t>서포터즈 이벤트 비용</t>
  </si>
  <si>
    <t>서포터즈 물품</t>
  </si>
  <si>
    <t>A5</t>
  </si>
  <si>
    <t>서포터즈 티셔츠비</t>
  </si>
  <si>
    <t>A6</t>
  </si>
  <si>
    <t>카포전 홈페이지 구축</t>
  </si>
  <si>
    <t>홈페이지 구축비</t>
  </si>
  <si>
    <t>홈페이지 구축은 디자인 홍보팀으로 이동</t>
  </si>
  <si>
    <t>카포전 교류팀(팀장 이동재, 이수민)</t>
  </si>
  <si>
    <t>홍보 비용</t>
  </si>
  <si>
    <t>응원도구</t>
  </si>
  <si>
    <t>홍보비용은 디자인 홍보팀으로 이동</t>
  </si>
  <si>
    <t>교류행사</t>
  </si>
  <si>
    <t>교류행사 부스 운영</t>
  </si>
  <si>
    <t>19~21 교류행사 부스 참고</t>
  </si>
  <si>
    <t>교류행사 상품비</t>
  </si>
  <si>
    <t>B2</t>
  </si>
  <si>
    <t>전야제 지원비</t>
  </si>
  <si>
    <t>전야제 무대비</t>
  </si>
  <si>
    <t>전야제 부스 음식비</t>
  </si>
  <si>
    <t>전야제 기획비</t>
  </si>
  <si>
    <t>카포전 운동경기팀(팀장 신승민, 구교민)</t>
  </si>
  <si>
    <t>야구</t>
  </si>
  <si>
    <t>운동용품 및 훈련 지원비</t>
  </si>
  <si>
    <t>코치비</t>
  </si>
  <si>
    <t>식사비를 운동용품 및 훈련지원비로 합침</t>
  </si>
  <si>
    <t>식사</t>
  </si>
  <si>
    <t>축구</t>
  </si>
  <si>
    <t>농구</t>
  </si>
  <si>
    <t>신설경기</t>
  </si>
  <si>
    <t>훈련 및 식사 지원비</t>
  </si>
  <si>
    <t>E-Sports</t>
  </si>
  <si>
    <t>식비 및 교통비</t>
  </si>
  <si>
    <t>이벤트 및 상금비</t>
  </si>
  <si>
    <t>피시방 대금</t>
  </si>
  <si>
    <t>H2</t>
  </si>
  <si>
    <t>격려금*</t>
  </si>
  <si>
    <t>격려금 삭제 및 선수단 지원비로 합침</t>
  </si>
  <si>
    <t>선수단 지원비*</t>
  </si>
  <si>
    <t>H3</t>
  </si>
  <si>
    <t>스트리머 섭외비*</t>
  </si>
  <si>
    <t>스트리머 섭외 삭제</t>
  </si>
  <si>
    <t>교내 해설 격려금*</t>
  </si>
  <si>
    <t>H4</t>
  </si>
  <si>
    <t>*E-Sports는 20, 21년도 참고</t>
  </si>
  <si>
    <t>카포전 과학경기팀(팀장 임재민)</t>
  </si>
  <si>
    <t>AI 경기</t>
  </si>
  <si>
    <t>AI 예선 상금</t>
  </si>
  <si>
    <t>AI 경기 지원금</t>
  </si>
  <si>
    <t>I2</t>
  </si>
  <si>
    <t>AI 게임 제작비</t>
  </si>
  <si>
    <t>I3</t>
  </si>
  <si>
    <t>AI경기 제작비는 21년도 기준으로 책정</t>
  </si>
  <si>
    <t>해킹 경기</t>
  </si>
  <si>
    <t>해킹 게임 제작비</t>
  </si>
  <si>
    <t>해킹 경기 제작비는 21년도 기준으로 책정</t>
  </si>
  <si>
    <t>해킹 지원금</t>
  </si>
  <si>
    <t>과학퀴즈 경기</t>
  </si>
  <si>
    <t>과학퀴즈 경기 진행비</t>
  </si>
  <si>
    <t>과학퀴즈 지원금</t>
  </si>
  <si>
    <t>카포전 디자인홍보팀(팀장 박서경, 정연종)</t>
  </si>
  <si>
    <t>전체 학우 기념품</t>
  </si>
  <si>
    <t>서포터즈 기념품 구입</t>
  </si>
  <si>
    <t>응원도구 제작*</t>
  </si>
  <si>
    <t>기념품 제작 및 상품비*</t>
  </si>
  <si>
    <t>M2</t>
  </si>
  <si>
    <t>홍보비용</t>
  </si>
  <si>
    <t>상품</t>
  </si>
  <si>
    <t>홍보이벤트(상품 포함)</t>
  </si>
  <si>
    <t>20, 21 홈페이지 구축비 참고</t>
  </si>
  <si>
    <t>책자</t>
  </si>
  <si>
    <t>책자인쇄 비용</t>
  </si>
  <si>
    <t>포스터, 현수막, 브로슈어</t>
  </si>
  <si>
    <t>카포전 사무팀(팀장 김호준)</t>
  </si>
  <si>
    <t>사무용품 및 소모품 구매</t>
  </si>
  <si>
    <t>기획단 운영비(단장 최성재, 부단장 김정민)</t>
  </si>
  <si>
    <t>기획단 운영비</t>
  </si>
  <si>
    <t>합동회의 숙소비</t>
  </si>
  <si>
    <t>S2</t>
  </si>
  <si>
    <t>카포전 합동회의비</t>
  </si>
  <si>
    <t>S3</t>
  </si>
  <si>
    <t>발대식</t>
  </si>
  <si>
    <t>S4</t>
  </si>
  <si>
    <t>선발대 숙소비</t>
  </si>
  <si>
    <t>S5</t>
  </si>
  <si>
    <t>S6</t>
  </si>
  <si>
    <t>우승상금(패배시 미지급)(단장 최성재, 부단장 김정민)</t>
  </si>
  <si>
    <t>선수단 격려금</t>
  </si>
  <si>
    <t>U2</t>
  </si>
  <si>
    <t>U3</t>
  </si>
  <si>
    <t>E-sport</t>
  </si>
  <si>
    <t>U4</t>
  </si>
  <si>
    <t>해킹</t>
  </si>
  <si>
    <t>U5</t>
  </si>
  <si>
    <t>과학퀴즈</t>
  </si>
  <si>
    <t>U6</t>
  </si>
  <si>
    <t>A.I</t>
  </si>
  <si>
    <t>U7</t>
  </si>
  <si>
    <t>본예산 총계</t>
  </si>
  <si>
    <t>학생회비 총계</t>
  </si>
  <si>
    <t>후원금 총계</t>
  </si>
  <si>
    <t>2022 상반기 행사준비위원회 상상효과 카이스트 포스텍 학생대제전</t>
  </si>
  <si>
    <t>2018 카포전 결산</t>
  </si>
  <si>
    <t>2022 카포전 예산</t>
  </si>
  <si>
    <t>최종잔액</t>
  </si>
  <si>
    <t>비율</t>
    <phoneticPr fontId="9" type="noConversion"/>
  </si>
  <si>
    <t>전년도 대비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</si>
</sst>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&quot;₩&quot;#,##0"/>
    <numFmt numFmtId="179" formatCode="0.000%"/>
  </numFmts>
  <fonts count="10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나눔명조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</fills>
  <borders count="9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4" fillId="4" borderId="16" xfId="0" applyNumberFormat="1" applyFont="1" applyFill="1" applyBorder="1" applyAlignment="1">
      <alignment horizontal="right"/>
    </xf>
    <xf numFmtId="177" fontId="4" fillId="4" borderId="1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4" fillId="5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7" fontId="1" fillId="6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3" borderId="10" xfId="0" applyNumberFormat="1" applyFont="1" applyFill="1" applyBorder="1" applyAlignment="1">
      <alignment horizontal="center" vertical="center" wrapText="1"/>
    </xf>
    <xf numFmtId="176" fontId="1" fillId="4" borderId="34" xfId="0" applyNumberFormat="1" applyFont="1" applyFill="1" applyBorder="1" applyAlignment="1">
      <alignment horizontal="center" vertical="center" wrapText="1"/>
    </xf>
    <xf numFmtId="176" fontId="4" fillId="4" borderId="34" xfId="0" applyNumberFormat="1" applyFont="1" applyFill="1" applyBorder="1" applyAlignment="1">
      <alignment horizontal="center" vertical="center" wrapText="1"/>
    </xf>
    <xf numFmtId="177" fontId="1" fillId="7" borderId="3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 wrapText="1"/>
    </xf>
    <xf numFmtId="177" fontId="4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176" fontId="5" fillId="8" borderId="34" xfId="0" applyNumberFormat="1" applyFont="1" applyFill="1" applyBorder="1" applyAlignment="1">
      <alignment horizontal="center" vertical="center"/>
    </xf>
    <xf numFmtId="177" fontId="5" fillId="9" borderId="34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/>
    </xf>
    <xf numFmtId="178" fontId="4" fillId="2" borderId="27" xfId="0" applyNumberFormat="1" applyFont="1" applyFill="1" applyBorder="1" applyAlignment="1">
      <alignment horizontal="center" vertical="center"/>
    </xf>
    <xf numFmtId="176" fontId="5" fillId="8" borderId="16" xfId="0" applyNumberFormat="1" applyFont="1" applyFill="1" applyBorder="1" applyAlignment="1">
      <alignment horizontal="center" vertical="center"/>
    </xf>
    <xf numFmtId="177" fontId="5" fillId="9" borderId="16" xfId="0" applyNumberFormat="1" applyFont="1" applyFill="1" applyBorder="1" applyAlignment="1">
      <alignment horizontal="center" vertical="center"/>
    </xf>
    <xf numFmtId="176" fontId="4" fillId="2" borderId="45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7" fontId="5" fillId="8" borderId="34" xfId="0" applyNumberFormat="1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>
      <alignment horizontal="center" vertical="center"/>
    </xf>
    <xf numFmtId="177" fontId="5" fillId="4" borderId="17" xfId="0" applyNumberFormat="1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horizontal="center" vertical="center" wrapText="1"/>
    </xf>
    <xf numFmtId="177" fontId="2" fillId="6" borderId="10" xfId="0" applyNumberFormat="1" applyFont="1" applyFill="1" applyBorder="1" applyAlignment="1">
      <alignment horizontal="center" vertical="center" wrapText="1"/>
    </xf>
    <xf numFmtId="176" fontId="2" fillId="7" borderId="16" xfId="0" applyNumberFormat="1" applyFont="1" applyFill="1" applyBorder="1" applyAlignment="1">
      <alignment horizontal="center" vertical="center" wrapText="1"/>
    </xf>
    <xf numFmtId="177" fontId="2" fillId="7" borderId="16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76" fontId="1" fillId="0" borderId="61" xfId="0" applyNumberFormat="1" applyFont="1" applyBorder="1" applyAlignment="1">
      <alignment horizontal="center" vertical="center" wrapText="1"/>
    </xf>
    <xf numFmtId="176" fontId="1" fillId="5" borderId="10" xfId="0" applyNumberFormat="1" applyFont="1" applyFill="1" applyBorder="1" applyAlignment="1">
      <alignment horizontal="center" vertical="center" wrapText="1"/>
    </xf>
    <xf numFmtId="176" fontId="1" fillId="5" borderId="10" xfId="0" applyNumberFormat="1" applyFont="1" applyFill="1" applyBorder="1" applyAlignment="1">
      <alignment horizontal="center" vertical="center" wrapText="1"/>
    </xf>
    <xf numFmtId="176" fontId="2" fillId="7" borderId="68" xfId="0" applyNumberFormat="1" applyFont="1" applyFill="1" applyBorder="1" applyAlignment="1">
      <alignment horizontal="center" vertical="center" wrapText="1"/>
    </xf>
    <xf numFmtId="177" fontId="2" fillId="7" borderId="68" xfId="0" applyNumberFormat="1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76" fontId="1" fillId="0" borderId="70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76" fontId="1" fillId="0" borderId="72" xfId="0" applyNumberFormat="1" applyFont="1" applyBorder="1" applyAlignment="1">
      <alignment horizontal="center" vertical="center" wrapText="1"/>
    </xf>
    <xf numFmtId="176" fontId="2" fillId="6" borderId="72" xfId="0" applyNumberFormat="1" applyFont="1" applyFill="1" applyBorder="1" applyAlignment="1">
      <alignment horizontal="center" vertical="center" wrapText="1"/>
    </xf>
    <xf numFmtId="176" fontId="2" fillId="7" borderId="80" xfId="0" applyNumberFormat="1" applyFont="1" applyFill="1" applyBorder="1" applyAlignment="1">
      <alignment horizontal="center" vertical="center" wrapText="1"/>
    </xf>
    <xf numFmtId="177" fontId="2" fillId="7" borderId="80" xfId="0" applyNumberFormat="1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77" fontId="1" fillId="0" borderId="61" xfId="0" applyNumberFormat="1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2" fillId="7" borderId="10" xfId="0" applyNumberFormat="1" applyFont="1" applyFill="1" applyBorder="1" applyAlignment="1">
      <alignment horizontal="center" vertical="center" wrapText="1"/>
    </xf>
    <xf numFmtId="177" fontId="2" fillId="7" borderId="10" xfId="0" applyNumberFormat="1" applyFont="1" applyFill="1" applyBorder="1" applyAlignment="1">
      <alignment horizontal="center" vertical="center" wrapText="1"/>
    </xf>
    <xf numFmtId="177" fontId="1" fillId="7" borderId="10" xfId="0" applyNumberFormat="1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178" fontId="6" fillId="10" borderId="93" xfId="0" applyNumberFormat="1" applyFont="1" applyFill="1" applyBorder="1" applyAlignment="1">
      <alignment horizontal="center" vertical="center" wrapText="1"/>
    </xf>
    <xf numFmtId="10" fontId="6" fillId="10" borderId="93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176" fontId="2" fillId="11" borderId="45" xfId="0" applyNumberFormat="1" applyFont="1" applyFill="1" applyBorder="1" applyAlignment="1">
      <alignment horizontal="center" vertical="center" wrapText="1"/>
    </xf>
    <xf numFmtId="177" fontId="2" fillId="11" borderId="95" xfId="0" applyNumberFormat="1" applyFont="1" applyFill="1" applyBorder="1" applyAlignment="1">
      <alignment horizontal="center" vertical="center" wrapText="1"/>
    </xf>
    <xf numFmtId="0" fontId="2" fillId="12" borderId="96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13" borderId="97" xfId="0" applyNumberFormat="1" applyFont="1" applyFill="1" applyBorder="1" applyAlignment="1">
      <alignment horizontal="center" vertical="center" wrapText="1"/>
    </xf>
    <xf numFmtId="176" fontId="2" fillId="13" borderId="34" xfId="0" applyNumberFormat="1" applyFont="1" applyFill="1" applyBorder="1" applyAlignment="1">
      <alignment horizontal="center" vertical="center" wrapText="1"/>
    </xf>
    <xf numFmtId="177" fontId="2" fillId="13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7" fontId="2" fillId="0" borderId="55" xfId="0" applyNumberFormat="1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177" fontId="7" fillId="11" borderId="95" xfId="0" applyNumberFormat="1" applyFont="1" applyFill="1" applyBorder="1" applyAlignment="1">
      <alignment horizontal="center" vertical="center"/>
    </xf>
    <xf numFmtId="0" fontId="7" fillId="12" borderId="96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0" fontId="7" fillId="2" borderId="12" xfId="0" applyNumberFormat="1" applyFont="1" applyFill="1" applyBorder="1" applyAlignment="1">
      <alignment horizontal="center" vertical="center"/>
    </xf>
    <xf numFmtId="0" fontId="7" fillId="13" borderId="97" xfId="0" applyFont="1" applyFill="1" applyBorder="1" applyAlignment="1">
      <alignment horizontal="center" vertical="center"/>
    </xf>
    <xf numFmtId="176" fontId="7" fillId="13" borderId="34" xfId="0" applyNumberFormat="1" applyFont="1" applyFill="1" applyBorder="1" applyAlignment="1">
      <alignment horizontal="center" vertical="center"/>
    </xf>
    <xf numFmtId="10" fontId="7" fillId="13" borderId="35" xfId="0" applyNumberFormat="1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76" fontId="2" fillId="0" borderId="93" xfId="0" applyNumberFormat="1" applyFont="1" applyBorder="1" applyAlignment="1">
      <alignment horizontal="center" vertical="center" wrapText="1"/>
    </xf>
    <xf numFmtId="177" fontId="2" fillId="0" borderId="53" xfId="0" applyNumberFormat="1" applyFont="1" applyBorder="1" applyAlignment="1">
      <alignment horizontal="center" vertical="center" wrapText="1"/>
    </xf>
    <xf numFmtId="176" fontId="2" fillId="11" borderId="27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8" xfId="0" applyFont="1" applyBorder="1"/>
    <xf numFmtId="0" fontId="4" fillId="0" borderId="98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9" fontId="1" fillId="14" borderId="10" xfId="0" applyNumberFormat="1" applyFont="1" applyFill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176" fontId="1" fillId="15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78" fontId="1" fillId="16" borderId="10" xfId="0" applyNumberFormat="1" applyFont="1" applyFill="1" applyBorder="1" applyAlignment="1">
      <alignment horizontal="center" vertical="center" wrapText="1"/>
    </xf>
    <xf numFmtId="10" fontId="1" fillId="16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78" fontId="1" fillId="9" borderId="10" xfId="0" applyNumberFormat="1" applyFont="1" applyFill="1" applyBorder="1" applyAlignment="1">
      <alignment horizontal="center" vertical="center" wrapText="1"/>
    </xf>
    <xf numFmtId="10" fontId="1" fillId="9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8" fontId="1" fillId="16" borderId="10" xfId="0" applyNumberFormat="1" applyFont="1" applyFill="1" applyBorder="1" applyAlignment="1">
      <alignment horizontal="center" vertical="center"/>
    </xf>
    <xf numFmtId="10" fontId="1" fillId="16" borderId="10" xfId="0" applyNumberFormat="1" applyFont="1" applyFill="1" applyBorder="1" applyAlignment="1">
      <alignment horizontal="center" vertical="center"/>
    </xf>
    <xf numFmtId="178" fontId="1" fillId="9" borderId="10" xfId="0" applyNumberFormat="1" applyFont="1" applyFill="1" applyBorder="1" applyAlignment="1">
      <alignment horizontal="center" vertical="center"/>
    </xf>
    <xf numFmtId="10" fontId="1" fillId="9" borderId="10" xfId="0" applyNumberFormat="1" applyFont="1" applyFill="1" applyBorder="1" applyAlignment="1">
      <alignment horizontal="center" vertical="center"/>
    </xf>
    <xf numFmtId="176" fontId="1" fillId="17" borderId="10" xfId="0" applyNumberFormat="1" applyFont="1" applyFill="1" applyBorder="1" applyAlignment="1">
      <alignment horizontal="center" vertical="center"/>
    </xf>
    <xf numFmtId="178" fontId="1" fillId="17" borderId="10" xfId="0" applyNumberFormat="1" applyFont="1" applyFill="1" applyBorder="1" applyAlignment="1">
      <alignment horizontal="center" vertical="center" wrapText="1"/>
    </xf>
    <xf numFmtId="10" fontId="1" fillId="17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6" fontId="2" fillId="13" borderId="97" xfId="0" applyNumberFormat="1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177" fontId="6" fillId="11" borderId="95" xfId="0" applyNumberFormat="1" applyFont="1" applyFill="1" applyBorder="1" applyAlignment="1">
      <alignment horizontal="center" vertical="center"/>
    </xf>
    <xf numFmtId="0" fontId="6" fillId="12" borderId="96" xfId="0" applyFont="1" applyFill="1" applyBorder="1" applyAlignment="1">
      <alignment horizontal="center" vertical="center"/>
    </xf>
    <xf numFmtId="176" fontId="0" fillId="5" borderId="0" xfId="0" applyNumberFormat="1" applyFont="1" applyFill="1" applyAlignment="1">
      <alignment horizontal="center"/>
    </xf>
    <xf numFmtId="176" fontId="1" fillId="5" borderId="10" xfId="0" applyNumberFormat="1" applyFont="1" applyFill="1" applyBorder="1" applyAlignment="1">
      <alignment horizontal="center" vertical="center" wrapText="1"/>
    </xf>
    <xf numFmtId="10" fontId="6" fillId="2" borderId="12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0" fontId="6" fillId="13" borderId="97" xfId="0" applyFont="1" applyFill="1" applyBorder="1" applyAlignment="1">
      <alignment horizontal="center" vertical="center"/>
    </xf>
    <xf numFmtId="176" fontId="6" fillId="13" borderId="34" xfId="0" applyNumberFormat="1" applyFont="1" applyFill="1" applyBorder="1" applyAlignment="1">
      <alignment horizontal="center" vertical="center"/>
    </xf>
    <xf numFmtId="10" fontId="6" fillId="13" borderId="35" xfId="0" applyNumberFormat="1" applyFont="1" applyFill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94" xfId="0" applyFont="1" applyBorder="1" applyAlignment="1">
      <alignment horizontal="center" vertical="center"/>
    </xf>
    <xf numFmtId="176" fontId="1" fillId="5" borderId="16" xfId="0" applyNumberFormat="1" applyFont="1" applyFill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3" fillId="0" borderId="58" xfId="0" applyFont="1" applyBorder="1"/>
    <xf numFmtId="0" fontId="3" fillId="0" borderId="89" xfId="0" applyFont="1" applyBorder="1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3" xfId="0" applyFont="1" applyBorder="1"/>
    <xf numFmtId="0" fontId="1" fillId="0" borderId="64" xfId="0" applyFont="1" applyBorder="1" applyAlignment="1">
      <alignment horizontal="center" vertical="center" wrapText="1"/>
    </xf>
    <xf numFmtId="0" fontId="3" fillId="0" borderId="62" xfId="0" applyFont="1" applyBorder="1"/>
    <xf numFmtId="0" fontId="3" fillId="0" borderId="63" xfId="0" applyFont="1" applyBorder="1"/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6" xfId="0" applyFont="1" applyBorder="1"/>
    <xf numFmtId="0" fontId="4" fillId="0" borderId="42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56" xfId="0" applyFont="1" applyBorder="1"/>
    <xf numFmtId="0" fontId="4" fillId="0" borderId="43" xfId="0" applyFont="1" applyBorder="1" applyAlignment="1">
      <alignment horizontal="center" vertical="center" wrapText="1"/>
    </xf>
    <xf numFmtId="0" fontId="3" fillId="0" borderId="47" xfId="0" applyFont="1" applyBorder="1"/>
    <xf numFmtId="0" fontId="3" fillId="0" borderId="51" xfId="0" applyFont="1" applyBorder="1"/>
    <xf numFmtId="0" fontId="4" fillId="0" borderId="44" xfId="0" applyFont="1" applyBorder="1" applyAlignment="1">
      <alignment horizontal="center" vertical="center" wrapText="1"/>
    </xf>
    <xf numFmtId="0" fontId="3" fillId="0" borderId="27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" fillId="0" borderId="29" xfId="0" applyFont="1" applyBorder="1"/>
    <xf numFmtId="0" fontId="3" fillId="0" borderId="74" xfId="0" applyFont="1" applyBorder="1"/>
    <xf numFmtId="0" fontId="1" fillId="0" borderId="77" xfId="0" applyFont="1" applyBorder="1" applyAlignment="1">
      <alignment horizontal="center" vertical="center" wrapText="1"/>
    </xf>
    <xf numFmtId="0" fontId="3" fillId="0" borderId="84" xfId="0" applyFont="1" applyBorder="1"/>
    <xf numFmtId="0" fontId="1" fillId="0" borderId="8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36" xfId="0" applyFont="1" applyBorder="1"/>
    <xf numFmtId="0" fontId="2" fillId="7" borderId="85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3" fillId="0" borderId="67" xfId="0" applyFont="1" applyBorder="1"/>
    <xf numFmtId="0" fontId="2" fillId="6" borderId="14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3" fillId="0" borderId="15" xfId="0" applyFont="1" applyBorder="1"/>
    <xf numFmtId="0" fontId="2" fillId="6" borderId="86" xfId="0" applyFont="1" applyFill="1" applyBorder="1" applyAlignment="1">
      <alignment horizontal="center" vertical="center" wrapText="1"/>
    </xf>
    <xf numFmtId="0" fontId="3" fillId="0" borderId="87" xfId="0" applyFont="1" applyBorder="1"/>
    <xf numFmtId="0" fontId="3" fillId="0" borderId="88" xfId="0" applyFont="1" applyBorder="1"/>
    <xf numFmtId="0" fontId="2" fillId="7" borderId="1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5" fillId="8" borderId="52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176" fontId="5" fillId="3" borderId="14" xfId="0" applyNumberFormat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0" borderId="29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176" fontId="4" fillId="0" borderId="44" xfId="0" applyNumberFormat="1" applyFont="1" applyBorder="1" applyAlignment="1">
      <alignment horizontal="center" vertical="center" wrapText="1"/>
    </xf>
    <xf numFmtId="177" fontId="4" fillId="0" borderId="4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53" xfId="0" applyFont="1" applyBorder="1"/>
    <xf numFmtId="0" fontId="1" fillId="6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/>
    <xf numFmtId="0" fontId="4" fillId="0" borderId="9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wrapText="1"/>
    </xf>
    <xf numFmtId="0" fontId="3" fillId="0" borderId="30" xfId="0" applyFont="1" applyBorder="1"/>
    <xf numFmtId="0" fontId="6" fillId="10" borderId="90" xfId="0" applyFont="1" applyFill="1" applyBorder="1" applyAlignment="1">
      <alignment horizontal="center" vertical="center" wrapText="1"/>
    </xf>
    <xf numFmtId="0" fontId="3" fillId="0" borderId="91" xfId="0" applyFont="1" applyBorder="1"/>
    <xf numFmtId="0" fontId="3" fillId="0" borderId="92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7" borderId="65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" fillId="0" borderId="73" xfId="0" applyFont="1" applyBorder="1"/>
    <xf numFmtId="0" fontId="3" fillId="0" borderId="78" xfId="0" applyFont="1" applyBorder="1"/>
    <xf numFmtId="0" fontId="2" fillId="6" borderId="75" xfId="0" applyFont="1" applyFill="1" applyBorder="1" applyAlignment="1">
      <alignment horizontal="center" vertical="center" wrapText="1"/>
    </xf>
    <xf numFmtId="0" fontId="3" fillId="0" borderId="76" xfId="0" applyFont="1" applyBorder="1"/>
    <xf numFmtId="0" fontId="3" fillId="0" borderId="79" xfId="0" applyFont="1" applyBorder="1"/>
    <xf numFmtId="177" fontId="1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98" xfId="0" applyFont="1" applyBorder="1" applyAlignment="1">
      <alignment horizontal="center" vertical="center" wrapText="1"/>
    </xf>
    <xf numFmtId="0" fontId="3" fillId="0" borderId="98" xfId="0" applyFont="1" applyBorder="1"/>
    <xf numFmtId="176" fontId="1" fillId="6" borderId="14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15" borderId="14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20"/>
  <sheetViews>
    <sheetView tabSelected="1" topLeftCell="A117" workbookViewId="0">
      <selection activeCell="K159" sqref="K159"/>
    </sheetView>
  </sheetViews>
  <sheetFormatPr baseColWidth="10" defaultColWidth="14.5" defaultRowHeight="15" customHeight="1"/>
  <cols>
    <col min="4" max="4" width="18.1640625" customWidth="1"/>
    <col min="5" max="5" width="7.1640625" customWidth="1"/>
    <col min="6" max="6" width="34.6640625" customWidth="1"/>
    <col min="7" max="7" width="8.83203125" customWidth="1"/>
    <col min="8" max="8" width="20" customWidth="1"/>
    <col min="9" max="9" width="29.33203125" customWidth="1"/>
    <col min="11" max="11" width="55" customWidth="1"/>
    <col min="13" max="13" width="58.1640625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300" t="s">
        <v>1</v>
      </c>
      <c r="E2" s="301"/>
      <c r="F2" s="301"/>
      <c r="G2" s="301"/>
      <c r="H2" s="301"/>
      <c r="I2" s="301"/>
      <c r="J2" s="301"/>
      <c r="K2" s="3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5" t="s">
        <v>2</v>
      </c>
      <c r="E3" s="6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7" t="s">
        <v>364</v>
      </c>
      <c r="K3" s="9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1"/>
      <c r="D4" s="303" t="s">
        <v>10</v>
      </c>
      <c r="E4" s="306" t="s">
        <v>11</v>
      </c>
      <c r="F4" s="10" t="s">
        <v>12</v>
      </c>
      <c r="G4" s="10" t="s">
        <v>13</v>
      </c>
      <c r="H4" s="11">
        <v>215431</v>
      </c>
      <c r="I4" s="12">
        <v>923169</v>
      </c>
      <c r="J4" s="13">
        <f t="shared" ref="J4:J11" si="0">IFERROR(I4/H4,"-%")</f>
        <v>4.2852189332083128</v>
      </c>
      <c r="K4" s="14"/>
      <c r="L4" s="1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9" customHeight="1">
      <c r="A5" s="1"/>
      <c r="B5" s="1"/>
      <c r="C5" s="1"/>
      <c r="D5" s="304"/>
      <c r="E5" s="238"/>
      <c r="F5" s="16" t="s">
        <v>14</v>
      </c>
      <c r="G5" s="17" t="s">
        <v>15</v>
      </c>
      <c r="H5" s="18">
        <v>1000000</v>
      </c>
      <c r="I5" s="12">
        <v>0</v>
      </c>
      <c r="J5" s="13">
        <f t="shared" si="0"/>
        <v>0</v>
      </c>
      <c r="K5" s="14" t="s">
        <v>16</v>
      </c>
      <c r="L5" s="1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1"/>
      <c r="D6" s="304"/>
      <c r="E6" s="238"/>
      <c r="F6" s="17" t="s">
        <v>17</v>
      </c>
      <c r="G6" s="17" t="s">
        <v>18</v>
      </c>
      <c r="H6" s="18" t="s">
        <v>19</v>
      </c>
      <c r="I6" s="12">
        <v>1153840</v>
      </c>
      <c r="J6" s="13" t="str">
        <f t="shared" si="0"/>
        <v>-%</v>
      </c>
      <c r="K6" s="14"/>
      <c r="L6" s="1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1"/>
      <c r="D7" s="304"/>
      <c r="E7" s="238"/>
      <c r="F7" s="16" t="s">
        <v>20</v>
      </c>
      <c r="G7" s="17" t="s">
        <v>21</v>
      </c>
      <c r="H7" s="18">
        <v>0</v>
      </c>
      <c r="I7" s="12" t="s">
        <v>19</v>
      </c>
      <c r="J7" s="13" t="str">
        <f t="shared" si="0"/>
        <v>-%</v>
      </c>
      <c r="K7" s="19"/>
      <c r="L7" s="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1"/>
      <c r="D8" s="304"/>
      <c r="E8" s="239"/>
      <c r="F8" s="275" t="s">
        <v>22</v>
      </c>
      <c r="G8" s="269"/>
      <c r="H8" s="20">
        <f t="shared" ref="H8:I8" si="1">SUM(H4:H7)</f>
        <v>1215431</v>
      </c>
      <c r="I8" s="20">
        <f t="shared" si="1"/>
        <v>2077009</v>
      </c>
      <c r="J8" s="13">
        <f t="shared" si="0"/>
        <v>1.7088662375733381</v>
      </c>
      <c r="K8" s="19"/>
      <c r="L8" s="1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1"/>
      <c r="D9" s="304"/>
      <c r="E9" s="243" t="s">
        <v>23</v>
      </c>
      <c r="F9" s="10" t="s">
        <v>24</v>
      </c>
      <c r="G9" s="10" t="s">
        <v>25</v>
      </c>
      <c r="H9" s="11">
        <v>1215607</v>
      </c>
      <c r="I9" s="12">
        <v>1500000</v>
      </c>
      <c r="J9" s="13">
        <f t="shared" si="0"/>
        <v>1.2339514333168533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1"/>
      <c r="D10" s="304"/>
      <c r="E10" s="244"/>
      <c r="F10" s="17" t="s">
        <v>26</v>
      </c>
      <c r="G10" s="17" t="s">
        <v>27</v>
      </c>
      <c r="H10" s="18">
        <v>1114330</v>
      </c>
      <c r="I10" s="18" t="s">
        <v>19</v>
      </c>
      <c r="J10" s="13" t="str">
        <f t="shared" si="0"/>
        <v>-%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1"/>
      <c r="D11" s="305"/>
      <c r="E11" s="245"/>
      <c r="F11" s="275" t="s">
        <v>22</v>
      </c>
      <c r="G11" s="269"/>
      <c r="H11" s="20">
        <f>SUM(H9:H10)</f>
        <v>2329937</v>
      </c>
      <c r="I11" s="20">
        <f>SUM(I9:I10)</f>
        <v>1500000</v>
      </c>
      <c r="J11" s="13">
        <f t="shared" si="0"/>
        <v>0.64379423134616942</v>
      </c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1"/>
      <c r="D12" s="22"/>
      <c r="E12" s="307" t="s">
        <v>28</v>
      </c>
      <c r="F12" s="277"/>
      <c r="G12" s="278"/>
      <c r="H12" s="23">
        <v>3458750</v>
      </c>
      <c r="I12" s="23">
        <f>SUM(I8,I11)</f>
        <v>3577009</v>
      </c>
      <c r="J12" s="24">
        <f>I12/H12</f>
        <v>1.0341912540657752</v>
      </c>
      <c r="K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1"/>
      <c r="D13" s="26" t="s">
        <v>2</v>
      </c>
      <c r="E13" s="27" t="s">
        <v>3</v>
      </c>
      <c r="F13" s="27" t="s">
        <v>29</v>
      </c>
      <c r="G13" s="27" t="s">
        <v>5</v>
      </c>
      <c r="H13" s="28" t="s">
        <v>30</v>
      </c>
      <c r="I13" s="29" t="s">
        <v>31</v>
      </c>
      <c r="J13" s="27" t="s">
        <v>364</v>
      </c>
      <c r="K13" s="30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1"/>
      <c r="D14" s="303" t="s">
        <v>32</v>
      </c>
      <c r="E14" s="237" t="s">
        <v>11</v>
      </c>
      <c r="F14" s="31" t="s">
        <v>33</v>
      </c>
      <c r="G14" s="31" t="s">
        <v>13</v>
      </c>
      <c r="H14" s="32">
        <v>4766587</v>
      </c>
      <c r="I14" s="33">
        <f>6012667-I22</f>
        <v>4567667</v>
      </c>
      <c r="J14" s="34">
        <f t="shared" ref="J14:J17" si="2">IFERROR(I14/H14,"-%")</f>
        <v>0.95826783398687576</v>
      </c>
      <c r="K14" s="14"/>
      <c r="L14" s="1"/>
      <c r="M14" s="35" t="s">
        <v>34</v>
      </c>
      <c r="N14" s="1"/>
      <c r="O14" s="1" t="s">
        <v>35</v>
      </c>
      <c r="P14" s="1" t="s">
        <v>36</v>
      </c>
      <c r="Q14" s="1" t="s">
        <v>37</v>
      </c>
      <c r="R14" s="36" t="s">
        <v>38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customHeight="1">
      <c r="A15" s="1"/>
      <c r="B15" s="1"/>
      <c r="C15" s="1"/>
      <c r="D15" s="304"/>
      <c r="E15" s="238"/>
      <c r="F15" s="37" t="s">
        <v>39</v>
      </c>
      <c r="G15" s="38" t="s">
        <v>15</v>
      </c>
      <c r="H15" s="39">
        <v>14500000</v>
      </c>
      <c r="I15" s="40">
        <f>O15-P15-Q15-R15</f>
        <v>3327333</v>
      </c>
      <c r="J15" s="34">
        <f t="shared" si="2"/>
        <v>0.22947124137931035</v>
      </c>
      <c r="K15" s="41"/>
      <c r="L15" s="1"/>
      <c r="M15" s="286" t="s">
        <v>40</v>
      </c>
      <c r="N15" s="1"/>
      <c r="O15" s="2">
        <f>SUM(I55,I66,I67,I68,I75:I77,I93,I95,I104,I106:I107,I122,I123,I126,I128,I130,I132)</f>
        <v>10340000</v>
      </c>
      <c r="P15" s="2">
        <f>I14</f>
        <v>4567667</v>
      </c>
      <c r="Q15" s="42">
        <v>1445000</v>
      </c>
      <c r="R15" s="43">
        <v>1000000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6.25" customHeight="1">
      <c r="A16" s="1"/>
      <c r="B16" s="1"/>
      <c r="C16" s="1"/>
      <c r="D16" s="304"/>
      <c r="E16" s="238"/>
      <c r="F16" s="38" t="s">
        <v>41</v>
      </c>
      <c r="G16" s="38" t="s">
        <v>18</v>
      </c>
      <c r="H16" s="39">
        <v>980</v>
      </c>
      <c r="I16" s="44" t="s">
        <v>19</v>
      </c>
      <c r="J16" s="34" t="str">
        <f t="shared" si="2"/>
        <v>-%</v>
      </c>
      <c r="K16" s="19"/>
      <c r="L16" s="1"/>
      <c r="M16" s="25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1"/>
      <c r="D17" s="304"/>
      <c r="E17" s="238"/>
      <c r="F17" s="38" t="s">
        <v>42</v>
      </c>
      <c r="G17" s="38" t="s">
        <v>21</v>
      </c>
      <c r="H17" s="39">
        <v>368000</v>
      </c>
      <c r="I17" s="44" t="s">
        <v>19</v>
      </c>
      <c r="J17" s="34" t="str">
        <f t="shared" si="2"/>
        <v>-%</v>
      </c>
      <c r="K17" s="19"/>
      <c r="L17" s="1"/>
      <c r="M17" s="25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1"/>
      <c r="D18" s="304"/>
      <c r="E18" s="239"/>
      <c r="F18" s="299" t="s">
        <v>22</v>
      </c>
      <c r="G18" s="269"/>
      <c r="H18" s="45">
        <v>19635567</v>
      </c>
      <c r="I18" s="46">
        <f>SUM(I14:I17)</f>
        <v>7895000</v>
      </c>
      <c r="J18" s="47">
        <f t="shared" ref="J18:J19" si="3">I18/H18</f>
        <v>0.40207649720530098</v>
      </c>
      <c r="K18" s="19"/>
      <c r="L18" s="1"/>
      <c r="M18" s="25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.75" customHeight="1">
      <c r="A19" s="1"/>
      <c r="B19" s="1"/>
      <c r="C19" s="1"/>
      <c r="D19" s="304"/>
      <c r="E19" s="254" t="s">
        <v>23</v>
      </c>
      <c r="F19" s="38" t="s">
        <v>43</v>
      </c>
      <c r="G19" s="38" t="s">
        <v>25</v>
      </c>
      <c r="H19" s="39">
        <v>16000000</v>
      </c>
      <c r="I19" s="48">
        <v>12000000</v>
      </c>
      <c r="J19" s="49">
        <f t="shared" si="3"/>
        <v>0.75</v>
      </c>
      <c r="K19" s="19"/>
      <c r="L19" s="1"/>
      <c r="M19" s="25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304"/>
      <c r="E20" s="238"/>
      <c r="F20" s="38" t="s">
        <v>44</v>
      </c>
      <c r="G20" s="38" t="s">
        <v>27</v>
      </c>
      <c r="H20" s="39">
        <v>0</v>
      </c>
      <c r="I20" s="44" t="s">
        <v>19</v>
      </c>
      <c r="J20" s="49" t="str">
        <f>IFERROR(I20/H20,"-%")</f>
        <v>-%</v>
      </c>
      <c r="K20" s="19"/>
      <c r="L20" s="1"/>
      <c r="M20" s="25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304"/>
      <c r="E21" s="239"/>
      <c r="F21" s="299" t="s">
        <v>22</v>
      </c>
      <c r="G21" s="269"/>
      <c r="H21" s="45">
        <v>16000000</v>
      </c>
      <c r="I21" s="46">
        <f>SUM(I19:I20)</f>
        <v>12000000</v>
      </c>
      <c r="J21" s="47">
        <f>I21/H21</f>
        <v>0.75</v>
      </c>
      <c r="K21" s="19"/>
      <c r="L21" s="1"/>
      <c r="M21" s="257"/>
      <c r="N21" s="1"/>
      <c r="O21" s="1" t="s">
        <v>45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304"/>
      <c r="E22" s="254" t="s">
        <v>46</v>
      </c>
      <c r="F22" s="38" t="s">
        <v>37</v>
      </c>
      <c r="G22" s="38" t="s">
        <v>47</v>
      </c>
      <c r="H22" s="39">
        <v>0</v>
      </c>
      <c r="I22" s="44">
        <v>1445000</v>
      </c>
      <c r="J22" s="49" t="str">
        <f t="shared" ref="J22:J27" si="4">IFERROR(I22/H22,"-%")</f>
        <v>-%</v>
      </c>
      <c r="K22" s="19"/>
      <c r="L22" s="1"/>
      <c r="M22" s="257"/>
      <c r="N22" s="1"/>
      <c r="O22" s="2">
        <f>I69+I70+I78+I98+I100+I103+I110+I116+I134+I73</f>
        <v>12000000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7" customHeight="1">
      <c r="A23" s="1"/>
      <c r="B23" s="1"/>
      <c r="C23" s="1"/>
      <c r="D23" s="304"/>
      <c r="E23" s="238"/>
      <c r="F23" s="38" t="s">
        <v>48</v>
      </c>
      <c r="G23" s="38" t="s">
        <v>49</v>
      </c>
      <c r="H23" s="39">
        <v>0</v>
      </c>
      <c r="I23" s="44" t="s">
        <v>19</v>
      </c>
      <c r="J23" s="49" t="str">
        <f t="shared" si="4"/>
        <v>-%</v>
      </c>
      <c r="K23" s="19" t="s">
        <v>50</v>
      </c>
      <c r="L23" s="1"/>
      <c r="M23" s="25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7.75" customHeight="1">
      <c r="A24" s="1"/>
      <c r="B24" s="1"/>
      <c r="C24" s="1"/>
      <c r="D24" s="304"/>
      <c r="E24" s="238"/>
      <c r="F24" s="38" t="s">
        <v>51</v>
      </c>
      <c r="G24" s="38" t="s">
        <v>52</v>
      </c>
      <c r="H24" s="39">
        <v>0</v>
      </c>
      <c r="I24" s="44" t="s">
        <v>19</v>
      </c>
      <c r="J24" s="49" t="str">
        <f t="shared" si="4"/>
        <v>-%</v>
      </c>
      <c r="K24" s="19" t="s">
        <v>53</v>
      </c>
      <c r="L24" s="1"/>
      <c r="M24" s="25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C25" s="1"/>
      <c r="D25" s="304"/>
      <c r="E25" s="238"/>
      <c r="F25" s="38" t="s">
        <v>54</v>
      </c>
      <c r="G25" s="38" t="s">
        <v>55</v>
      </c>
      <c r="H25" s="39">
        <v>0</v>
      </c>
      <c r="I25" s="44">
        <v>0</v>
      </c>
      <c r="J25" s="49" t="str">
        <f t="shared" si="4"/>
        <v>-%</v>
      </c>
      <c r="K25" s="19"/>
      <c r="L25" s="1"/>
      <c r="M25" s="25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C26" s="1"/>
      <c r="D26" s="304"/>
      <c r="E26" s="238"/>
      <c r="F26" s="37" t="s">
        <v>56</v>
      </c>
      <c r="G26" s="37" t="s">
        <v>57</v>
      </c>
      <c r="H26" s="50" t="s">
        <v>19</v>
      </c>
      <c r="I26" s="48">
        <v>1000000</v>
      </c>
      <c r="J26" s="49" t="str">
        <f t="shared" si="4"/>
        <v>-%</v>
      </c>
      <c r="K26" s="51" t="s">
        <v>58</v>
      </c>
      <c r="L26" s="1"/>
      <c r="M26" s="25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304"/>
      <c r="E27" s="239"/>
      <c r="F27" s="290" t="s">
        <v>22</v>
      </c>
      <c r="G27" s="269"/>
      <c r="H27" s="52">
        <v>0</v>
      </c>
      <c r="I27" s="46">
        <f>SUM(I22:I26)</f>
        <v>2445000</v>
      </c>
      <c r="J27" s="47" t="str">
        <f t="shared" si="4"/>
        <v>-%</v>
      </c>
      <c r="K27" s="19"/>
      <c r="L27" s="1"/>
      <c r="M27" s="25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308"/>
      <c r="E28" s="289" t="s">
        <v>59</v>
      </c>
      <c r="F28" s="280"/>
      <c r="G28" s="281"/>
      <c r="H28" s="53">
        <v>35635567</v>
      </c>
      <c r="I28" s="54">
        <f>I18+I21+I27</f>
        <v>22340000</v>
      </c>
      <c r="J28" s="55">
        <f>I28/H28</f>
        <v>0.62690176923521379</v>
      </c>
      <c r="K28" s="56"/>
      <c r="L28" s="1"/>
      <c r="M28" s="26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1"/>
      <c r="G29" s="1"/>
      <c r="H29" s="2"/>
      <c r="I29" s="2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57"/>
      <c r="B30" s="291" t="s">
        <v>60</v>
      </c>
      <c r="C30" s="292"/>
      <c r="D30" s="292"/>
      <c r="E30" s="292"/>
      <c r="F30" s="292"/>
      <c r="G30" s="292"/>
      <c r="H30" s="292"/>
      <c r="I30" s="292"/>
      <c r="J30" s="292"/>
      <c r="K30" s="29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4.5" customHeight="1">
      <c r="A31" s="57"/>
      <c r="B31" s="58" t="s">
        <v>2</v>
      </c>
      <c r="C31" s="59" t="s">
        <v>61</v>
      </c>
      <c r="D31" s="60" t="s">
        <v>62</v>
      </c>
      <c r="E31" s="60" t="s">
        <v>3</v>
      </c>
      <c r="F31" s="60" t="s">
        <v>63</v>
      </c>
      <c r="G31" s="60" t="s">
        <v>5</v>
      </c>
      <c r="H31" s="61" t="s">
        <v>6</v>
      </c>
      <c r="I31" s="61" t="s">
        <v>7</v>
      </c>
      <c r="J31" s="233" t="s">
        <v>364</v>
      </c>
      <c r="K31" s="62" t="s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4.5" customHeight="1">
      <c r="A32" s="57"/>
      <c r="B32" s="246" t="s">
        <v>64</v>
      </c>
      <c r="C32" s="249" t="s">
        <v>65</v>
      </c>
      <c r="D32" s="252" t="s">
        <v>66</v>
      </c>
      <c r="E32" s="63" t="s">
        <v>11</v>
      </c>
      <c r="F32" s="63" t="s">
        <v>67</v>
      </c>
      <c r="G32" s="63" t="s">
        <v>68</v>
      </c>
      <c r="H32" s="64">
        <v>66360</v>
      </c>
      <c r="I32" s="65">
        <v>150000</v>
      </c>
      <c r="J32" s="66">
        <f t="shared" ref="J32:J36" si="5">I32/H32</f>
        <v>2.2603978300180834</v>
      </c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34.5" customHeight="1">
      <c r="A33" s="57"/>
      <c r="B33" s="247"/>
      <c r="C33" s="250"/>
      <c r="D33" s="245"/>
      <c r="E33" s="275" t="s">
        <v>22</v>
      </c>
      <c r="F33" s="268"/>
      <c r="G33" s="269"/>
      <c r="H33" s="68">
        <v>66360</v>
      </c>
      <c r="I33" s="68">
        <f>I32</f>
        <v>150000</v>
      </c>
      <c r="J33" s="69">
        <f t="shared" si="5"/>
        <v>2.2603978300180834</v>
      </c>
      <c r="K33" s="7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4.5" customHeight="1">
      <c r="A34" s="57"/>
      <c r="B34" s="247"/>
      <c r="C34" s="250"/>
      <c r="D34" s="243" t="s">
        <v>69</v>
      </c>
      <c r="E34" s="10" t="s">
        <v>11</v>
      </c>
      <c r="F34" s="10" t="s">
        <v>70</v>
      </c>
      <c r="G34" s="10" t="s">
        <v>71</v>
      </c>
      <c r="H34" s="71">
        <v>426700</v>
      </c>
      <c r="I34" s="44">
        <v>400000</v>
      </c>
      <c r="J34" s="72">
        <f t="shared" si="5"/>
        <v>0.93742676353409893</v>
      </c>
      <c r="K34" s="7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4.5" customHeight="1">
      <c r="A35" s="57"/>
      <c r="B35" s="247"/>
      <c r="C35" s="250"/>
      <c r="D35" s="245"/>
      <c r="E35" s="275" t="s">
        <v>22</v>
      </c>
      <c r="F35" s="268"/>
      <c r="G35" s="269"/>
      <c r="H35" s="68">
        <v>426700</v>
      </c>
      <c r="I35" s="68">
        <f>I34</f>
        <v>400000</v>
      </c>
      <c r="J35" s="69">
        <f t="shared" si="5"/>
        <v>0.93742676353409893</v>
      </c>
      <c r="K35" s="7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247"/>
      <c r="C36" s="251"/>
      <c r="D36" s="279" t="s">
        <v>72</v>
      </c>
      <c r="E36" s="280"/>
      <c r="F36" s="280"/>
      <c r="G36" s="281"/>
      <c r="H36" s="74">
        <f t="shared" ref="H36:I36" si="6">H33+H35</f>
        <v>493060</v>
      </c>
      <c r="I36" s="74">
        <f t="shared" si="6"/>
        <v>550000</v>
      </c>
      <c r="J36" s="75">
        <f t="shared" si="5"/>
        <v>1.1154829026893278</v>
      </c>
      <c r="K36" s="7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247"/>
      <c r="C37" s="249" t="s">
        <v>73</v>
      </c>
      <c r="D37" s="252" t="s">
        <v>24</v>
      </c>
      <c r="E37" s="63" t="s">
        <v>23</v>
      </c>
      <c r="F37" s="63" t="s">
        <v>74</v>
      </c>
      <c r="G37" s="63" t="s">
        <v>75</v>
      </c>
      <c r="H37" s="77">
        <v>195920</v>
      </c>
      <c r="I37" s="294">
        <v>1500000</v>
      </c>
      <c r="J37" s="295">
        <f>(I37+I38+I39+I40)/H37</f>
        <v>7.6561861984483466</v>
      </c>
      <c r="K37" s="296" t="s">
        <v>76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247"/>
      <c r="C38" s="250"/>
      <c r="D38" s="244"/>
      <c r="E38" s="10" t="s">
        <v>23</v>
      </c>
      <c r="F38" s="10" t="s">
        <v>77</v>
      </c>
      <c r="G38" s="10" t="s">
        <v>78</v>
      </c>
      <c r="H38" s="78">
        <v>420000</v>
      </c>
      <c r="I38" s="244"/>
      <c r="J38" s="244"/>
      <c r="K38" s="29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247"/>
      <c r="C39" s="250"/>
      <c r="D39" s="244"/>
      <c r="E39" s="10" t="s">
        <v>23</v>
      </c>
      <c r="F39" s="10" t="s">
        <v>79</v>
      </c>
      <c r="G39" s="10" t="s">
        <v>80</v>
      </c>
      <c r="H39" s="78">
        <v>0</v>
      </c>
      <c r="I39" s="244"/>
      <c r="J39" s="244"/>
      <c r="K39" s="29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247"/>
      <c r="C40" s="250"/>
      <c r="D40" s="244"/>
      <c r="E40" s="10" t="s">
        <v>23</v>
      </c>
      <c r="F40" s="10" t="s">
        <v>81</v>
      </c>
      <c r="G40" s="10" t="s">
        <v>82</v>
      </c>
      <c r="H40" s="79">
        <v>498410</v>
      </c>
      <c r="I40" s="253"/>
      <c r="J40" s="253"/>
      <c r="K40" s="29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247"/>
      <c r="C41" s="250"/>
      <c r="D41" s="253"/>
      <c r="E41" s="275" t="s">
        <v>22</v>
      </c>
      <c r="F41" s="268"/>
      <c r="G41" s="269"/>
      <c r="H41" s="68">
        <v>1114330</v>
      </c>
      <c r="I41" s="68">
        <f>SUM(I37:I40)</f>
        <v>1500000</v>
      </c>
      <c r="J41" s="69">
        <f t="shared" ref="J41:J42" si="7">I41/H41</f>
        <v>1.3461003472938895</v>
      </c>
      <c r="K41" s="29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247"/>
      <c r="C42" s="251"/>
      <c r="D42" s="279" t="s">
        <v>72</v>
      </c>
      <c r="E42" s="280"/>
      <c r="F42" s="280"/>
      <c r="G42" s="281"/>
      <c r="H42" s="74">
        <v>1114330</v>
      </c>
      <c r="I42" s="74">
        <f>I41</f>
        <v>1500000</v>
      </c>
      <c r="J42" s="75">
        <f t="shared" si="7"/>
        <v>1.3461003472938895</v>
      </c>
      <c r="K42" s="29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247"/>
      <c r="C43" s="274" t="s">
        <v>83</v>
      </c>
      <c r="D43" s="287" t="s">
        <v>84</v>
      </c>
      <c r="E43" s="80" t="s">
        <v>11</v>
      </c>
      <c r="F43" s="80" t="s">
        <v>85</v>
      </c>
      <c r="G43" s="80" t="s">
        <v>86</v>
      </c>
      <c r="H43" s="81">
        <v>0</v>
      </c>
      <c r="I43" s="294" t="s">
        <v>19</v>
      </c>
      <c r="J43" s="321" t="str">
        <f>IFERROR(I43/H43,"-%")</f>
        <v>-%</v>
      </c>
      <c r="K43" s="296" t="s">
        <v>87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247"/>
      <c r="C44" s="250"/>
      <c r="D44" s="244"/>
      <c r="E44" s="17" t="s">
        <v>11</v>
      </c>
      <c r="F44" s="17" t="s">
        <v>88</v>
      </c>
      <c r="G44" s="17" t="s">
        <v>89</v>
      </c>
      <c r="H44" s="82">
        <v>206400</v>
      </c>
      <c r="I44" s="253"/>
      <c r="J44" s="253"/>
      <c r="K44" s="29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247"/>
      <c r="C45" s="250"/>
      <c r="D45" s="253"/>
      <c r="E45" s="282" t="s">
        <v>22</v>
      </c>
      <c r="F45" s="268"/>
      <c r="G45" s="269"/>
      <c r="H45" s="68">
        <v>206400</v>
      </c>
      <c r="I45" s="68">
        <f>SUM(I43:I44)</f>
        <v>0</v>
      </c>
      <c r="J45" s="69">
        <f t="shared" ref="J45:J48" si="8">I45/H45</f>
        <v>0</v>
      </c>
      <c r="K45" s="29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247"/>
      <c r="C46" s="251"/>
      <c r="D46" s="283" t="s">
        <v>72</v>
      </c>
      <c r="E46" s="277"/>
      <c r="F46" s="277"/>
      <c r="G46" s="278"/>
      <c r="H46" s="83">
        <v>206400</v>
      </c>
      <c r="I46" s="83">
        <f>I45</f>
        <v>0</v>
      </c>
      <c r="J46" s="84">
        <f t="shared" si="8"/>
        <v>0</v>
      </c>
      <c r="K46" s="29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247"/>
      <c r="C47" s="274" t="s">
        <v>90</v>
      </c>
      <c r="D47" s="287" t="s">
        <v>91</v>
      </c>
      <c r="E47" s="80" t="s">
        <v>11</v>
      </c>
      <c r="F47" s="80" t="s">
        <v>91</v>
      </c>
      <c r="G47" s="80" t="s">
        <v>92</v>
      </c>
      <c r="H47" s="85">
        <v>244920</v>
      </c>
      <c r="I47" s="65">
        <v>80000</v>
      </c>
      <c r="J47" s="66">
        <f t="shared" si="8"/>
        <v>0.32663726931242854</v>
      </c>
      <c r="K47" s="29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customHeight="1">
      <c r="A48" s="1"/>
      <c r="B48" s="247"/>
      <c r="C48" s="250"/>
      <c r="D48" s="253"/>
      <c r="E48" s="275" t="s">
        <v>22</v>
      </c>
      <c r="F48" s="268"/>
      <c r="G48" s="269"/>
      <c r="H48" s="68">
        <v>244920</v>
      </c>
      <c r="I48" s="68">
        <f>SUM(I47)</f>
        <v>80000</v>
      </c>
      <c r="J48" s="69">
        <f t="shared" si="8"/>
        <v>0.32663726931242854</v>
      </c>
      <c r="K48" s="32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 customHeight="1">
      <c r="A49" s="1"/>
      <c r="B49" s="247"/>
      <c r="C49" s="250"/>
      <c r="D49" s="288" t="s">
        <v>17</v>
      </c>
      <c r="E49" s="17" t="s">
        <v>11</v>
      </c>
      <c r="F49" s="17" t="s">
        <v>17</v>
      </c>
      <c r="G49" s="17" t="s">
        <v>93</v>
      </c>
      <c r="H49" s="86" t="s">
        <v>19</v>
      </c>
      <c r="I49" s="44">
        <v>1153840</v>
      </c>
      <c r="J49" s="49" t="str">
        <f>IFERROR(I49/H49,"-%")</f>
        <v>-%</v>
      </c>
      <c r="K49" s="1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 customHeight="1">
      <c r="A50" s="1"/>
      <c r="B50" s="247"/>
      <c r="C50" s="250"/>
      <c r="D50" s="253"/>
      <c r="E50" s="275" t="s">
        <v>22</v>
      </c>
      <c r="F50" s="268"/>
      <c r="G50" s="269"/>
      <c r="H50" s="68">
        <v>244920</v>
      </c>
      <c r="I50" s="68">
        <f>I49</f>
        <v>1153840</v>
      </c>
      <c r="J50" s="69">
        <f t="shared" ref="J50:J52" si="9">I50/H50</f>
        <v>4.7110893352931571</v>
      </c>
      <c r="K50" s="1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 customHeight="1">
      <c r="A51" s="1"/>
      <c r="B51" s="247"/>
      <c r="C51" s="251"/>
      <c r="D51" s="279" t="s">
        <v>72</v>
      </c>
      <c r="E51" s="280"/>
      <c r="F51" s="280"/>
      <c r="G51" s="281"/>
      <c r="H51" s="74">
        <v>244920</v>
      </c>
      <c r="I51" s="74">
        <f>I48+I50</f>
        <v>1233840</v>
      </c>
      <c r="J51" s="87">
        <f t="shared" si="9"/>
        <v>5.0377266046055853</v>
      </c>
      <c r="K51" s="5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" customHeight="1">
      <c r="A52" s="1"/>
      <c r="B52" s="248"/>
      <c r="C52" s="284" t="s">
        <v>94</v>
      </c>
      <c r="D52" s="285"/>
      <c r="E52" s="285"/>
      <c r="F52" s="285"/>
      <c r="G52" s="238"/>
      <c r="H52" s="88">
        <v>3269610</v>
      </c>
      <c r="I52" s="88">
        <f>I36+I42+I46+I51</f>
        <v>3283840</v>
      </c>
      <c r="J52" s="89">
        <f t="shared" si="9"/>
        <v>1.0043522010270338</v>
      </c>
      <c r="K52" s="9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53.25" customHeight="1">
      <c r="A53" s="1"/>
      <c r="B53" s="91" t="s">
        <v>2</v>
      </c>
      <c r="C53" s="92" t="s">
        <v>61</v>
      </c>
      <c r="D53" s="27" t="s">
        <v>95</v>
      </c>
      <c r="E53" s="27" t="s">
        <v>3</v>
      </c>
      <c r="F53" s="27" t="s">
        <v>63</v>
      </c>
      <c r="G53" s="27" t="s">
        <v>5</v>
      </c>
      <c r="H53" s="28" t="s">
        <v>30</v>
      </c>
      <c r="I53" s="28" t="s">
        <v>31</v>
      </c>
      <c r="J53" s="27" t="s">
        <v>96</v>
      </c>
      <c r="K53" s="93" t="s">
        <v>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234" t="s">
        <v>97</v>
      </c>
      <c r="C54" s="286" t="s">
        <v>98</v>
      </c>
      <c r="D54" s="237" t="s">
        <v>99</v>
      </c>
      <c r="E54" s="31" t="s">
        <v>23</v>
      </c>
      <c r="F54" s="31" t="s">
        <v>100</v>
      </c>
      <c r="G54" s="31" t="s">
        <v>68</v>
      </c>
      <c r="H54" s="32">
        <v>0</v>
      </c>
      <c r="I54" s="32">
        <v>0</v>
      </c>
      <c r="J54" s="49" t="str">
        <f>IFERROR(I54/H54,"-%")</f>
        <v>-%</v>
      </c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235"/>
      <c r="C55" s="257"/>
      <c r="D55" s="238"/>
      <c r="E55" s="38" t="s">
        <v>11</v>
      </c>
      <c r="F55" s="38" t="s">
        <v>101</v>
      </c>
      <c r="G55" s="38" t="s">
        <v>102</v>
      </c>
      <c r="H55" s="39">
        <v>8000</v>
      </c>
      <c r="I55" s="39">
        <v>100000</v>
      </c>
      <c r="J55" s="49">
        <f t="shared" ref="J55:J56" si="10">I55/H55</f>
        <v>12.5</v>
      </c>
      <c r="K55" s="51" t="s">
        <v>103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235"/>
      <c r="C56" s="257"/>
      <c r="D56" s="239"/>
      <c r="E56" s="267" t="s">
        <v>22</v>
      </c>
      <c r="F56" s="268"/>
      <c r="G56" s="269"/>
      <c r="H56" s="94">
        <v>8000</v>
      </c>
      <c r="I56" s="94">
        <f>SUM(I54:I55)</f>
        <v>100000</v>
      </c>
      <c r="J56" s="95">
        <f t="shared" si="10"/>
        <v>12.5</v>
      </c>
      <c r="K56" s="1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235"/>
      <c r="C57" s="257"/>
      <c r="D57" s="254" t="s">
        <v>104</v>
      </c>
      <c r="E57" s="38" t="s">
        <v>23</v>
      </c>
      <c r="F57" s="38" t="s">
        <v>104</v>
      </c>
      <c r="G57" s="38" t="s">
        <v>71</v>
      </c>
      <c r="H57" s="39">
        <v>0</v>
      </c>
      <c r="I57" s="39">
        <v>0</v>
      </c>
      <c r="J57" s="49" t="str">
        <f t="shared" ref="J57:J58" si="11">IFERROR(I57/H57,"-%")</f>
        <v>-%</v>
      </c>
      <c r="K57" s="1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235"/>
      <c r="C58" s="257"/>
      <c r="D58" s="239"/>
      <c r="E58" s="267" t="s">
        <v>22</v>
      </c>
      <c r="F58" s="268"/>
      <c r="G58" s="269"/>
      <c r="H58" s="94">
        <v>0</v>
      </c>
      <c r="I58" s="94">
        <f>SUM(I57)</f>
        <v>0</v>
      </c>
      <c r="J58" s="95" t="str">
        <f t="shared" si="11"/>
        <v>-%</v>
      </c>
      <c r="K58" s="1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235"/>
      <c r="C59" s="257"/>
      <c r="D59" s="276" t="s">
        <v>72</v>
      </c>
      <c r="E59" s="277"/>
      <c r="F59" s="277"/>
      <c r="G59" s="278"/>
      <c r="H59" s="96">
        <v>8000</v>
      </c>
      <c r="I59" s="96">
        <f>SUM(I56,I58)</f>
        <v>100000</v>
      </c>
      <c r="J59" s="97">
        <f>I59/H59</f>
        <v>12.5</v>
      </c>
      <c r="K59" s="9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235"/>
      <c r="C60" s="257"/>
      <c r="D60" s="255" t="s">
        <v>105</v>
      </c>
      <c r="E60" s="99" t="s">
        <v>23</v>
      </c>
      <c r="F60" s="99" t="s">
        <v>106</v>
      </c>
      <c r="G60" s="99" t="s">
        <v>75</v>
      </c>
      <c r="H60" s="100">
        <v>0</v>
      </c>
      <c r="I60" s="100">
        <v>0</v>
      </c>
      <c r="J60" s="49" t="str">
        <f t="shared" ref="J60:J73" si="12">IFERROR(I60/H60,"-%")</f>
        <v>-%</v>
      </c>
      <c r="K60" s="323" t="s">
        <v>107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235"/>
      <c r="C61" s="257"/>
      <c r="D61" s="241"/>
      <c r="E61" s="38" t="s">
        <v>23</v>
      </c>
      <c r="F61" s="38" t="s">
        <v>108</v>
      </c>
      <c r="G61" s="38" t="s">
        <v>78</v>
      </c>
      <c r="H61" s="39">
        <v>0</v>
      </c>
      <c r="I61" s="39">
        <v>0</v>
      </c>
      <c r="J61" s="49" t="str">
        <f t="shared" si="12"/>
        <v>-%</v>
      </c>
      <c r="K61" s="2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235"/>
      <c r="C62" s="257"/>
      <c r="D62" s="241"/>
      <c r="E62" s="38" t="s">
        <v>11</v>
      </c>
      <c r="F62" s="38" t="s">
        <v>109</v>
      </c>
      <c r="G62" s="38" t="s">
        <v>80</v>
      </c>
      <c r="H62" s="39">
        <v>0</v>
      </c>
      <c r="I62" s="39">
        <v>0</v>
      </c>
      <c r="J62" s="49" t="str">
        <f t="shared" si="12"/>
        <v>-%</v>
      </c>
      <c r="K62" s="29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235"/>
      <c r="C63" s="257"/>
      <c r="D63" s="241"/>
      <c r="E63" s="38" t="s">
        <v>11</v>
      </c>
      <c r="F63" s="38" t="s">
        <v>110</v>
      </c>
      <c r="G63" s="38" t="s">
        <v>82</v>
      </c>
      <c r="H63" s="39">
        <v>0</v>
      </c>
      <c r="I63" s="39">
        <v>0</v>
      </c>
      <c r="J63" s="49" t="str">
        <f t="shared" si="12"/>
        <v>-%</v>
      </c>
      <c r="K63" s="29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235"/>
      <c r="C64" s="257"/>
      <c r="D64" s="241"/>
      <c r="E64" s="38" t="s">
        <v>11</v>
      </c>
      <c r="F64" s="38" t="s">
        <v>111</v>
      </c>
      <c r="G64" s="38" t="s">
        <v>112</v>
      </c>
      <c r="H64" s="39">
        <v>0</v>
      </c>
      <c r="I64" s="39">
        <v>0</v>
      </c>
      <c r="J64" s="49" t="str">
        <f t="shared" si="12"/>
        <v>-%</v>
      </c>
      <c r="K64" s="29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235"/>
      <c r="C65" s="257"/>
      <c r="D65" s="241"/>
      <c r="E65" s="38" t="s">
        <v>11</v>
      </c>
      <c r="F65" s="38" t="s">
        <v>113</v>
      </c>
      <c r="G65" s="38" t="s">
        <v>114</v>
      </c>
      <c r="H65" s="39">
        <v>0</v>
      </c>
      <c r="I65" s="39">
        <v>0</v>
      </c>
      <c r="J65" s="49" t="str">
        <f t="shared" si="12"/>
        <v>-%</v>
      </c>
      <c r="K65" s="3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235"/>
      <c r="C66" s="257"/>
      <c r="D66" s="241"/>
      <c r="E66" s="38" t="s">
        <v>11</v>
      </c>
      <c r="F66" s="38" t="s">
        <v>115</v>
      </c>
      <c r="G66" s="38" t="s">
        <v>116</v>
      </c>
      <c r="H66" s="39">
        <v>0</v>
      </c>
      <c r="I66" s="39">
        <v>500000</v>
      </c>
      <c r="J66" s="49" t="str">
        <f t="shared" si="12"/>
        <v>-%</v>
      </c>
      <c r="K66" s="324" t="s">
        <v>117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235"/>
      <c r="C67" s="257"/>
      <c r="D67" s="241"/>
      <c r="E67" s="37" t="s">
        <v>11</v>
      </c>
      <c r="F67" s="38" t="s">
        <v>118</v>
      </c>
      <c r="G67" s="38" t="s">
        <v>119</v>
      </c>
      <c r="H67" s="39">
        <v>2322740</v>
      </c>
      <c r="I67" s="39">
        <v>1000000</v>
      </c>
      <c r="J67" s="49">
        <f t="shared" si="12"/>
        <v>0.43052601668718843</v>
      </c>
      <c r="K67" s="3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235"/>
      <c r="C68" s="257"/>
      <c r="D68" s="241"/>
      <c r="E68" s="38" t="s">
        <v>11</v>
      </c>
      <c r="F68" s="38" t="s">
        <v>120</v>
      </c>
      <c r="G68" s="38" t="s">
        <v>121</v>
      </c>
      <c r="H68" s="39">
        <v>0</v>
      </c>
      <c r="I68" s="39">
        <v>0</v>
      </c>
      <c r="J68" s="49" t="str">
        <f t="shared" si="12"/>
        <v>-%</v>
      </c>
      <c r="K68" s="19" t="s">
        <v>122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235"/>
      <c r="C69" s="257"/>
      <c r="D69" s="241"/>
      <c r="E69" s="38" t="s">
        <v>23</v>
      </c>
      <c r="F69" s="38" t="s">
        <v>123</v>
      </c>
      <c r="G69" s="38" t="s">
        <v>124</v>
      </c>
      <c r="H69" s="39">
        <v>0</v>
      </c>
      <c r="I69" s="101">
        <v>500000</v>
      </c>
      <c r="J69" s="49" t="str">
        <f t="shared" si="12"/>
        <v>-%</v>
      </c>
      <c r="K69" s="324" t="s">
        <v>125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235"/>
      <c r="C70" s="257"/>
      <c r="D70" s="241"/>
      <c r="E70" s="38" t="s">
        <v>23</v>
      </c>
      <c r="F70" s="38" t="s">
        <v>126</v>
      </c>
      <c r="G70" s="38" t="s">
        <v>127</v>
      </c>
      <c r="H70" s="39">
        <v>0</v>
      </c>
      <c r="I70" s="101">
        <v>2500000</v>
      </c>
      <c r="J70" s="49" t="str">
        <f t="shared" si="12"/>
        <v>-%</v>
      </c>
      <c r="K70" s="29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235"/>
      <c r="C71" s="257"/>
      <c r="D71" s="241"/>
      <c r="E71" s="38" t="s">
        <v>23</v>
      </c>
      <c r="F71" s="38" t="s">
        <v>128</v>
      </c>
      <c r="G71" s="38" t="s">
        <v>129</v>
      </c>
      <c r="H71" s="39">
        <v>0</v>
      </c>
      <c r="I71" s="101">
        <v>0</v>
      </c>
      <c r="J71" s="49" t="str">
        <f t="shared" si="12"/>
        <v>-%</v>
      </c>
      <c r="K71" s="29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235"/>
      <c r="C72" s="257"/>
      <c r="D72" s="241"/>
      <c r="E72" s="38" t="s">
        <v>23</v>
      </c>
      <c r="F72" s="38" t="s">
        <v>130</v>
      </c>
      <c r="G72" s="38" t="s">
        <v>131</v>
      </c>
      <c r="H72" s="39">
        <v>0</v>
      </c>
      <c r="I72" s="101">
        <v>0</v>
      </c>
      <c r="J72" s="49" t="str">
        <f t="shared" si="12"/>
        <v>-%</v>
      </c>
      <c r="K72" s="29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235"/>
      <c r="C73" s="257"/>
      <c r="D73" s="241"/>
      <c r="E73" s="38" t="s">
        <v>23</v>
      </c>
      <c r="F73" s="38" t="s">
        <v>132</v>
      </c>
      <c r="G73" s="38" t="s">
        <v>133</v>
      </c>
      <c r="H73" s="39">
        <v>0</v>
      </c>
      <c r="I73" s="102">
        <v>2000000</v>
      </c>
      <c r="J73" s="49" t="str">
        <f t="shared" si="12"/>
        <v>-%</v>
      </c>
      <c r="K73" s="32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235"/>
      <c r="C74" s="257"/>
      <c r="D74" s="242"/>
      <c r="E74" s="267" t="s">
        <v>22</v>
      </c>
      <c r="F74" s="268"/>
      <c r="G74" s="269"/>
      <c r="H74" s="94">
        <v>2322740</v>
      </c>
      <c r="I74" s="94">
        <f>SUM(I60:I73)</f>
        <v>6500000</v>
      </c>
      <c r="J74" s="95">
        <f>I74/H74</f>
        <v>2.7984191084667245</v>
      </c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235"/>
      <c r="C75" s="257"/>
      <c r="D75" s="240" t="s">
        <v>134</v>
      </c>
      <c r="E75" s="38" t="s">
        <v>11</v>
      </c>
      <c r="F75" s="38" t="s">
        <v>135</v>
      </c>
      <c r="G75" s="38" t="s">
        <v>86</v>
      </c>
      <c r="H75" s="39">
        <v>0</v>
      </c>
      <c r="I75" s="39">
        <v>50000</v>
      </c>
      <c r="J75" s="49" t="str">
        <f t="shared" ref="J75:J81" si="13">IFERROR(I75/H75,"-%")</f>
        <v>-%</v>
      </c>
      <c r="K75" s="19" t="s">
        <v>136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235"/>
      <c r="C76" s="257"/>
      <c r="D76" s="241"/>
      <c r="E76" s="38" t="s">
        <v>11</v>
      </c>
      <c r="F76" s="38" t="s">
        <v>137</v>
      </c>
      <c r="G76" s="38" t="s">
        <v>89</v>
      </c>
      <c r="H76" s="39">
        <v>0</v>
      </c>
      <c r="I76" s="39">
        <v>200000</v>
      </c>
      <c r="J76" s="49" t="str">
        <f t="shared" si="13"/>
        <v>-%</v>
      </c>
      <c r="K76" s="19" t="s">
        <v>138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235"/>
      <c r="C77" s="257"/>
      <c r="D77" s="241"/>
      <c r="E77" s="38" t="s">
        <v>11</v>
      </c>
      <c r="F77" s="38" t="s">
        <v>139</v>
      </c>
      <c r="G77" s="38" t="s">
        <v>140</v>
      </c>
      <c r="H77" s="39">
        <v>0</v>
      </c>
      <c r="I77" s="39">
        <v>0</v>
      </c>
      <c r="J77" s="49" t="str">
        <f t="shared" si="13"/>
        <v>-%</v>
      </c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235"/>
      <c r="C78" s="257"/>
      <c r="D78" s="241"/>
      <c r="E78" s="38" t="s">
        <v>23</v>
      </c>
      <c r="F78" s="38" t="s">
        <v>141</v>
      </c>
      <c r="G78" s="38" t="s">
        <v>142</v>
      </c>
      <c r="H78" s="39">
        <v>0</v>
      </c>
      <c r="I78" s="39">
        <v>200000</v>
      </c>
      <c r="J78" s="49" t="str">
        <f t="shared" si="13"/>
        <v>-%</v>
      </c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235"/>
      <c r="C79" s="257"/>
      <c r="D79" s="241"/>
      <c r="E79" s="38" t="s">
        <v>11</v>
      </c>
      <c r="F79" s="38" t="s">
        <v>143</v>
      </c>
      <c r="G79" s="38" t="s">
        <v>144</v>
      </c>
      <c r="H79" s="39">
        <v>0</v>
      </c>
      <c r="I79" s="39">
        <v>0</v>
      </c>
      <c r="J79" s="49" t="str">
        <f t="shared" si="13"/>
        <v>-%</v>
      </c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235"/>
      <c r="C80" s="257"/>
      <c r="D80" s="241"/>
      <c r="E80" s="38" t="s">
        <v>11</v>
      </c>
      <c r="F80" s="38" t="s">
        <v>145</v>
      </c>
      <c r="G80" s="38" t="s">
        <v>146</v>
      </c>
      <c r="H80" s="39">
        <v>0</v>
      </c>
      <c r="I80" s="39">
        <v>0</v>
      </c>
      <c r="J80" s="49" t="str">
        <f t="shared" si="13"/>
        <v>-%</v>
      </c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235"/>
      <c r="C81" s="257"/>
      <c r="D81" s="242"/>
      <c r="E81" s="267" t="s">
        <v>22</v>
      </c>
      <c r="F81" s="268"/>
      <c r="G81" s="269"/>
      <c r="H81" s="94">
        <v>0</v>
      </c>
      <c r="I81" s="94">
        <f>SUM(I75:I80)</f>
        <v>450000</v>
      </c>
      <c r="J81" s="47" t="str">
        <f t="shared" si="13"/>
        <v>-%</v>
      </c>
      <c r="K81" s="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235"/>
      <c r="C82" s="263"/>
      <c r="D82" s="314" t="s">
        <v>72</v>
      </c>
      <c r="E82" s="265"/>
      <c r="F82" s="265"/>
      <c r="G82" s="266"/>
      <c r="H82" s="103">
        <v>2322740</v>
      </c>
      <c r="I82" s="103">
        <f>I74+I81</f>
        <v>6950000</v>
      </c>
      <c r="J82" s="104">
        <f>I82/H82</f>
        <v>2.9921558159759596</v>
      </c>
      <c r="K82" s="2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235"/>
      <c r="C83" s="256" t="s">
        <v>147</v>
      </c>
      <c r="D83" s="256" t="s">
        <v>148</v>
      </c>
      <c r="E83" s="105" t="s">
        <v>11</v>
      </c>
      <c r="F83" s="105" t="s">
        <v>149</v>
      </c>
      <c r="G83" s="105" t="s">
        <v>92</v>
      </c>
      <c r="H83" s="106">
        <v>0</v>
      </c>
      <c r="I83" s="106">
        <v>0</v>
      </c>
      <c r="J83" s="49" t="str">
        <f t="shared" ref="J83:J91" si="14">IFERROR(I83/H83,"-%")</f>
        <v>-%</v>
      </c>
      <c r="K83" s="315" t="s">
        <v>150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235"/>
      <c r="C84" s="257"/>
      <c r="D84" s="257"/>
      <c r="E84" s="107" t="s">
        <v>11</v>
      </c>
      <c r="F84" s="107" t="s">
        <v>151</v>
      </c>
      <c r="G84" s="107" t="s">
        <v>152</v>
      </c>
      <c r="H84" s="108">
        <v>0</v>
      </c>
      <c r="I84" s="108">
        <v>0</v>
      </c>
      <c r="J84" s="49" t="str">
        <f t="shared" si="14"/>
        <v>-%</v>
      </c>
      <c r="K84" s="31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235"/>
      <c r="C85" s="257"/>
      <c r="D85" s="257"/>
      <c r="E85" s="107" t="s">
        <v>11</v>
      </c>
      <c r="F85" s="107" t="s">
        <v>153</v>
      </c>
      <c r="G85" s="107" t="s">
        <v>154</v>
      </c>
      <c r="H85" s="108">
        <v>0</v>
      </c>
      <c r="I85" s="108">
        <v>0</v>
      </c>
      <c r="J85" s="49" t="str">
        <f t="shared" si="14"/>
        <v>-%</v>
      </c>
      <c r="K85" s="31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235"/>
      <c r="C86" s="257"/>
      <c r="D86" s="258"/>
      <c r="E86" s="318" t="s">
        <v>22</v>
      </c>
      <c r="F86" s="268"/>
      <c r="G86" s="319"/>
      <c r="H86" s="109">
        <v>0</v>
      </c>
      <c r="I86" s="109">
        <f>SUM(I83:I85)</f>
        <v>0</v>
      </c>
      <c r="J86" s="47" t="str">
        <f t="shared" si="14"/>
        <v>-%</v>
      </c>
      <c r="K86" s="31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235"/>
      <c r="C87" s="257"/>
      <c r="D87" s="259" t="s">
        <v>155</v>
      </c>
      <c r="E87" s="107" t="s">
        <v>11</v>
      </c>
      <c r="F87" s="107" t="s">
        <v>156</v>
      </c>
      <c r="G87" s="107" t="s">
        <v>93</v>
      </c>
      <c r="H87" s="108">
        <v>0</v>
      </c>
      <c r="I87" s="108">
        <v>0</v>
      </c>
      <c r="J87" s="49" t="str">
        <f t="shared" si="14"/>
        <v>-%</v>
      </c>
      <c r="K87" s="3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235"/>
      <c r="C88" s="257"/>
      <c r="D88" s="257"/>
      <c r="E88" s="107" t="s">
        <v>11</v>
      </c>
      <c r="F88" s="107" t="s">
        <v>157</v>
      </c>
      <c r="G88" s="107" t="s">
        <v>158</v>
      </c>
      <c r="H88" s="108">
        <v>0</v>
      </c>
      <c r="I88" s="108">
        <v>0</v>
      </c>
      <c r="J88" s="49" t="str">
        <f t="shared" si="14"/>
        <v>-%</v>
      </c>
      <c r="K88" s="31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235"/>
      <c r="C89" s="257"/>
      <c r="D89" s="258"/>
      <c r="E89" s="318" t="s">
        <v>22</v>
      </c>
      <c r="F89" s="268"/>
      <c r="G89" s="319"/>
      <c r="H89" s="109">
        <v>0</v>
      </c>
      <c r="I89" s="109">
        <f>SUM(I87:I88)</f>
        <v>0</v>
      </c>
      <c r="J89" s="47" t="str">
        <f t="shared" si="14"/>
        <v>-%</v>
      </c>
      <c r="K89" s="31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235"/>
      <c r="C90" s="257"/>
      <c r="D90" s="259" t="s">
        <v>159</v>
      </c>
      <c r="E90" s="107" t="s">
        <v>11</v>
      </c>
      <c r="F90" s="107" t="s">
        <v>54</v>
      </c>
      <c r="G90" s="107" t="s">
        <v>160</v>
      </c>
      <c r="H90" s="108">
        <v>0</v>
      </c>
      <c r="I90" s="108">
        <v>0</v>
      </c>
      <c r="J90" s="49" t="str">
        <f t="shared" si="14"/>
        <v>-%</v>
      </c>
      <c r="K90" s="31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235"/>
      <c r="C91" s="257"/>
      <c r="D91" s="258"/>
      <c r="E91" s="318" t="s">
        <v>22</v>
      </c>
      <c r="F91" s="268"/>
      <c r="G91" s="319"/>
      <c r="H91" s="109">
        <v>0</v>
      </c>
      <c r="I91" s="109">
        <f>SUM(I90)</f>
        <v>0</v>
      </c>
      <c r="J91" s="47" t="str">
        <f t="shared" si="14"/>
        <v>-%</v>
      </c>
      <c r="K91" s="31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235"/>
      <c r="C92" s="263"/>
      <c r="D92" s="314" t="s">
        <v>72</v>
      </c>
      <c r="E92" s="265"/>
      <c r="F92" s="265"/>
      <c r="G92" s="320"/>
      <c r="H92" s="110">
        <v>0</v>
      </c>
      <c r="I92" s="110">
        <f>SUM(I86,I89,I91)</f>
        <v>0</v>
      </c>
      <c r="J92" s="111" t="str">
        <f>IFERROR(I92/H92,"-%")</f>
        <v>-%</v>
      </c>
      <c r="K92" s="1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235"/>
      <c r="C93" s="255" t="s">
        <v>161</v>
      </c>
      <c r="D93" s="261" t="s">
        <v>162</v>
      </c>
      <c r="E93" s="99" t="s">
        <v>11</v>
      </c>
      <c r="F93" s="99" t="s">
        <v>162</v>
      </c>
      <c r="G93" s="99" t="s">
        <v>163</v>
      </c>
      <c r="H93" s="100">
        <v>21300</v>
      </c>
      <c r="I93" s="100">
        <v>200000</v>
      </c>
      <c r="J93" s="113">
        <f t="shared" ref="J93:J94" si="15">I93/H93</f>
        <v>9.3896713615023479</v>
      </c>
      <c r="K93" s="11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235"/>
      <c r="C94" s="241"/>
      <c r="D94" s="253"/>
      <c r="E94" s="267" t="s">
        <v>22</v>
      </c>
      <c r="F94" s="268"/>
      <c r="G94" s="269"/>
      <c r="H94" s="94">
        <v>21300</v>
      </c>
      <c r="I94" s="94">
        <f>SUM(I93)</f>
        <v>200000</v>
      </c>
      <c r="J94" s="95">
        <f t="shared" si="15"/>
        <v>9.3896713615023479</v>
      </c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235"/>
      <c r="C95" s="241"/>
      <c r="D95" s="262" t="s">
        <v>69</v>
      </c>
      <c r="E95" s="38" t="s">
        <v>11</v>
      </c>
      <c r="F95" s="38" t="s">
        <v>69</v>
      </c>
      <c r="G95" s="38" t="s">
        <v>164</v>
      </c>
      <c r="H95" s="39">
        <v>0</v>
      </c>
      <c r="I95" s="39">
        <v>100000</v>
      </c>
      <c r="J95" s="49" t="str">
        <f t="shared" ref="J95:J96" si="16">IFERROR(I95/H95,"-%")</f>
        <v>-%</v>
      </c>
      <c r="K95" s="1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235"/>
      <c r="C96" s="241"/>
      <c r="D96" s="253"/>
      <c r="E96" s="267" t="s">
        <v>22</v>
      </c>
      <c r="F96" s="268"/>
      <c r="G96" s="269"/>
      <c r="H96" s="94">
        <v>0</v>
      </c>
      <c r="I96" s="94">
        <f>SUM(I95)</f>
        <v>100000</v>
      </c>
      <c r="J96" s="47" t="str">
        <f t="shared" si="16"/>
        <v>-%</v>
      </c>
      <c r="K96" s="1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235"/>
      <c r="C97" s="260"/>
      <c r="D97" s="264" t="s">
        <v>72</v>
      </c>
      <c r="E97" s="265"/>
      <c r="F97" s="265"/>
      <c r="G97" s="266"/>
      <c r="H97" s="103">
        <v>21300</v>
      </c>
      <c r="I97" s="103">
        <f>SUM(I94,I96)</f>
        <v>300000</v>
      </c>
      <c r="J97" s="104">
        <f t="shared" ref="J97:J98" si="17">I97/H97</f>
        <v>14.084507042253522</v>
      </c>
      <c r="K97" s="2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235"/>
      <c r="C98" s="255" t="s">
        <v>165</v>
      </c>
      <c r="D98" s="261" t="s">
        <v>166</v>
      </c>
      <c r="E98" s="99" t="s">
        <v>23</v>
      </c>
      <c r="F98" s="99" t="s">
        <v>167</v>
      </c>
      <c r="G98" s="99" t="s">
        <v>168</v>
      </c>
      <c r="H98" s="100">
        <v>200000</v>
      </c>
      <c r="I98" s="100">
        <v>200000</v>
      </c>
      <c r="J98" s="113">
        <f t="shared" si="17"/>
        <v>1</v>
      </c>
      <c r="K98" s="11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235"/>
      <c r="C99" s="241"/>
      <c r="D99" s="244"/>
      <c r="E99" s="38" t="s">
        <v>23</v>
      </c>
      <c r="F99" s="38" t="s">
        <v>169</v>
      </c>
      <c r="G99" s="38" t="s">
        <v>170</v>
      </c>
      <c r="H99" s="39">
        <v>0</v>
      </c>
      <c r="I99" s="39">
        <v>0</v>
      </c>
      <c r="J99" s="49" t="str">
        <f t="shared" ref="J99:J100" si="18">IFERROR(I99/H99,"-%")</f>
        <v>-%</v>
      </c>
      <c r="K99" s="11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235"/>
      <c r="C100" s="241"/>
      <c r="D100" s="244"/>
      <c r="E100" s="38" t="s">
        <v>23</v>
      </c>
      <c r="F100" s="38" t="s">
        <v>171</v>
      </c>
      <c r="G100" s="38" t="s">
        <v>172</v>
      </c>
      <c r="H100" s="39">
        <v>0</v>
      </c>
      <c r="I100" s="39">
        <v>100000</v>
      </c>
      <c r="J100" s="49" t="str">
        <f t="shared" si="18"/>
        <v>-%</v>
      </c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235"/>
      <c r="C101" s="241"/>
      <c r="D101" s="253"/>
      <c r="E101" s="267" t="s">
        <v>22</v>
      </c>
      <c r="F101" s="268"/>
      <c r="G101" s="269"/>
      <c r="H101" s="94">
        <v>200000</v>
      </c>
      <c r="I101" s="94">
        <f>SUM(I98:I100)</f>
        <v>300000</v>
      </c>
      <c r="J101" s="95">
        <f t="shared" ref="J101:J106" si="19">I101/H101</f>
        <v>1.5</v>
      </c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235"/>
      <c r="C102" s="241"/>
      <c r="D102" s="273" t="s">
        <v>72</v>
      </c>
      <c r="E102" s="268"/>
      <c r="F102" s="268"/>
      <c r="G102" s="269"/>
      <c r="H102" s="116">
        <v>200000</v>
      </c>
      <c r="I102" s="116">
        <f>SUM(I101)</f>
        <v>300000</v>
      </c>
      <c r="J102" s="117">
        <f t="shared" si="19"/>
        <v>1.5</v>
      </c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235"/>
      <c r="C103" s="241"/>
      <c r="D103" s="262" t="s">
        <v>173</v>
      </c>
      <c r="E103" s="38" t="s">
        <v>23</v>
      </c>
      <c r="F103" s="38" t="s">
        <v>174</v>
      </c>
      <c r="G103" s="38" t="s">
        <v>175</v>
      </c>
      <c r="H103" s="39">
        <v>6000000</v>
      </c>
      <c r="I103" s="39">
        <v>4000000</v>
      </c>
      <c r="J103" s="49">
        <f t="shared" si="19"/>
        <v>0.66666666666666663</v>
      </c>
      <c r="K103" s="324" t="s">
        <v>176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235"/>
      <c r="C104" s="241"/>
      <c r="D104" s="244"/>
      <c r="E104" s="38" t="s">
        <v>11</v>
      </c>
      <c r="F104" s="38" t="s">
        <v>177</v>
      </c>
      <c r="G104" s="38" t="s">
        <v>178</v>
      </c>
      <c r="H104" s="39">
        <v>464200</v>
      </c>
      <c r="I104" s="39">
        <v>1000000</v>
      </c>
      <c r="J104" s="49">
        <f t="shared" si="19"/>
        <v>2.154243860404998</v>
      </c>
      <c r="K104" s="32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235"/>
      <c r="C105" s="241"/>
      <c r="D105" s="253"/>
      <c r="E105" s="267" t="s">
        <v>22</v>
      </c>
      <c r="F105" s="268"/>
      <c r="G105" s="269"/>
      <c r="H105" s="94">
        <v>6464200</v>
      </c>
      <c r="I105" s="94">
        <f>SUM(I103:I104)</f>
        <v>5000000</v>
      </c>
      <c r="J105" s="95">
        <f t="shared" si="19"/>
        <v>0.7734909192166084</v>
      </c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235"/>
      <c r="C106" s="241"/>
      <c r="D106" s="262" t="s">
        <v>179</v>
      </c>
      <c r="E106" s="38" t="s">
        <v>11</v>
      </c>
      <c r="F106" s="38" t="s">
        <v>180</v>
      </c>
      <c r="G106" s="38" t="s">
        <v>181</v>
      </c>
      <c r="H106" s="39">
        <v>1281720</v>
      </c>
      <c r="I106" s="39">
        <v>1500000</v>
      </c>
      <c r="J106" s="49">
        <f t="shared" si="19"/>
        <v>1.1703024061417471</v>
      </c>
      <c r="K106" s="51" t="s">
        <v>182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235"/>
      <c r="C107" s="241"/>
      <c r="D107" s="244"/>
      <c r="E107" s="38" t="s">
        <v>11</v>
      </c>
      <c r="F107" s="38" t="s">
        <v>183</v>
      </c>
      <c r="G107" s="38" t="s">
        <v>184</v>
      </c>
      <c r="H107" s="39">
        <v>0</v>
      </c>
      <c r="I107" s="39">
        <v>0</v>
      </c>
      <c r="J107" s="49" t="str">
        <f>IFERROR(I107/H107,"-%")</f>
        <v>-%</v>
      </c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235"/>
      <c r="C108" s="241"/>
      <c r="D108" s="253"/>
      <c r="E108" s="267" t="s">
        <v>22</v>
      </c>
      <c r="F108" s="268"/>
      <c r="G108" s="269"/>
      <c r="H108" s="94">
        <v>1281720</v>
      </c>
      <c r="I108" s="94">
        <f>SUM(I106:I107)</f>
        <v>1500000</v>
      </c>
      <c r="J108" s="95">
        <f t="shared" ref="J108:J112" si="20">I108/H108</f>
        <v>1.1703024061417471</v>
      </c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235"/>
      <c r="C109" s="260"/>
      <c r="D109" s="264" t="s">
        <v>72</v>
      </c>
      <c r="E109" s="265"/>
      <c r="F109" s="265"/>
      <c r="G109" s="266"/>
      <c r="H109" s="103">
        <f t="shared" ref="H109:I109" si="21">H105+H108</f>
        <v>7745920</v>
      </c>
      <c r="I109" s="103">
        <f t="shared" si="21"/>
        <v>6500000</v>
      </c>
      <c r="J109" s="104">
        <f t="shared" si="20"/>
        <v>0.83915145005370573</v>
      </c>
      <c r="K109" s="2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235"/>
      <c r="C110" s="255" t="s">
        <v>185</v>
      </c>
      <c r="D110" s="261" t="s">
        <v>186</v>
      </c>
      <c r="E110" s="99" t="s">
        <v>23</v>
      </c>
      <c r="F110" s="99" t="s">
        <v>186</v>
      </c>
      <c r="G110" s="99" t="s">
        <v>187</v>
      </c>
      <c r="H110" s="100">
        <v>200000</v>
      </c>
      <c r="I110" s="100">
        <v>500000</v>
      </c>
      <c r="J110" s="113">
        <f t="shared" si="20"/>
        <v>2.5</v>
      </c>
      <c r="K110" s="11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235"/>
      <c r="C111" s="241"/>
      <c r="D111" s="253"/>
      <c r="E111" s="267" t="s">
        <v>22</v>
      </c>
      <c r="F111" s="268"/>
      <c r="G111" s="269"/>
      <c r="H111" s="94">
        <v>200000</v>
      </c>
      <c r="I111" s="94">
        <f>SUM(I110)</f>
        <v>500000</v>
      </c>
      <c r="J111" s="95">
        <f t="shared" si="20"/>
        <v>2.5</v>
      </c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235"/>
      <c r="C112" s="260"/>
      <c r="D112" s="264" t="s">
        <v>72</v>
      </c>
      <c r="E112" s="265"/>
      <c r="F112" s="265"/>
      <c r="G112" s="266"/>
      <c r="H112" s="103">
        <v>200000</v>
      </c>
      <c r="I112" s="103">
        <v>500000</v>
      </c>
      <c r="J112" s="104">
        <f t="shared" si="20"/>
        <v>2.5</v>
      </c>
      <c r="K112" s="2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235"/>
      <c r="C113" s="255" t="s">
        <v>188</v>
      </c>
      <c r="D113" s="261" t="s">
        <v>189</v>
      </c>
      <c r="E113" s="99" t="s">
        <v>11</v>
      </c>
      <c r="F113" s="99" t="s">
        <v>190</v>
      </c>
      <c r="G113" s="99" t="s">
        <v>191</v>
      </c>
      <c r="H113" s="100">
        <v>0</v>
      </c>
      <c r="I113" s="100">
        <v>0</v>
      </c>
      <c r="J113" s="49" t="str">
        <f t="shared" ref="J113:J123" si="22">IFERROR(I113/H113,"-%")</f>
        <v>-%</v>
      </c>
      <c r="K113" s="11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235"/>
      <c r="C114" s="241"/>
      <c r="D114" s="253"/>
      <c r="E114" s="267" t="s">
        <v>22</v>
      </c>
      <c r="F114" s="268"/>
      <c r="G114" s="269"/>
      <c r="H114" s="94">
        <v>0</v>
      </c>
      <c r="I114" s="94">
        <f t="shared" ref="I114:I115" si="23">SUM(I113)</f>
        <v>0</v>
      </c>
      <c r="J114" s="47" t="str">
        <f t="shared" si="22"/>
        <v>-%</v>
      </c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235"/>
      <c r="C115" s="241"/>
      <c r="D115" s="273" t="s">
        <v>72</v>
      </c>
      <c r="E115" s="268"/>
      <c r="F115" s="268"/>
      <c r="G115" s="269"/>
      <c r="H115" s="116">
        <v>0</v>
      </c>
      <c r="I115" s="116">
        <f t="shared" si="23"/>
        <v>0</v>
      </c>
      <c r="J115" s="118" t="str">
        <f t="shared" si="22"/>
        <v>-%</v>
      </c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235"/>
      <c r="C116" s="241"/>
      <c r="D116" s="262" t="s">
        <v>192</v>
      </c>
      <c r="E116" s="38" t="s">
        <v>23</v>
      </c>
      <c r="F116" s="38" t="s">
        <v>193</v>
      </c>
      <c r="G116" s="38" t="s">
        <v>194</v>
      </c>
      <c r="H116" s="39">
        <v>0</v>
      </c>
      <c r="I116" s="39">
        <v>1000000</v>
      </c>
      <c r="J116" s="49" t="str">
        <f t="shared" si="22"/>
        <v>-%</v>
      </c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235"/>
      <c r="C117" s="241"/>
      <c r="D117" s="244"/>
      <c r="E117" s="38" t="s">
        <v>11</v>
      </c>
      <c r="F117" s="38" t="s">
        <v>195</v>
      </c>
      <c r="G117" s="38" t="s">
        <v>196</v>
      </c>
      <c r="H117" s="39">
        <v>0</v>
      </c>
      <c r="I117" s="39">
        <v>0</v>
      </c>
      <c r="J117" s="49" t="str">
        <f t="shared" si="22"/>
        <v>-%</v>
      </c>
      <c r="K117" s="1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235"/>
      <c r="C118" s="241"/>
      <c r="D118" s="244"/>
      <c r="E118" s="38" t="s">
        <v>11</v>
      </c>
      <c r="F118" s="38" t="s">
        <v>197</v>
      </c>
      <c r="G118" s="38" t="s">
        <v>198</v>
      </c>
      <c r="H118" s="39">
        <v>0</v>
      </c>
      <c r="I118" s="39">
        <v>0</v>
      </c>
      <c r="J118" s="49" t="str">
        <f t="shared" si="22"/>
        <v>-%</v>
      </c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235"/>
      <c r="C119" s="241"/>
      <c r="D119" s="244"/>
      <c r="E119" s="38" t="s">
        <v>11</v>
      </c>
      <c r="F119" s="38" t="s">
        <v>199</v>
      </c>
      <c r="G119" s="38" t="s">
        <v>200</v>
      </c>
      <c r="H119" s="39">
        <v>0</v>
      </c>
      <c r="I119" s="39">
        <v>0</v>
      </c>
      <c r="J119" s="49" t="str">
        <f t="shared" si="22"/>
        <v>-%</v>
      </c>
      <c r="K119" s="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235"/>
      <c r="C120" s="241"/>
      <c r="D120" s="253"/>
      <c r="E120" s="267" t="s">
        <v>22</v>
      </c>
      <c r="F120" s="268"/>
      <c r="G120" s="269"/>
      <c r="H120" s="94">
        <v>0</v>
      </c>
      <c r="I120" s="94">
        <f>SUM(I116:I119)</f>
        <v>1000000</v>
      </c>
      <c r="J120" s="47" t="str">
        <f t="shared" si="22"/>
        <v>-%</v>
      </c>
      <c r="K120" s="1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235"/>
      <c r="C121" s="241"/>
      <c r="D121" s="262" t="s">
        <v>201</v>
      </c>
      <c r="E121" s="38" t="s">
        <v>23</v>
      </c>
      <c r="F121" s="38" t="s">
        <v>202</v>
      </c>
      <c r="G121" s="38" t="s">
        <v>203</v>
      </c>
      <c r="H121" s="39">
        <v>9000000</v>
      </c>
      <c r="I121" s="39" t="s">
        <v>19</v>
      </c>
      <c r="J121" s="49" t="str">
        <f t="shared" si="22"/>
        <v>-%</v>
      </c>
      <c r="K121" s="19" t="s">
        <v>204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235"/>
      <c r="C122" s="241"/>
      <c r="D122" s="244"/>
      <c r="E122" s="38" t="s">
        <v>11</v>
      </c>
      <c r="F122" s="38" t="s">
        <v>205</v>
      </c>
      <c r="G122" s="38" t="s">
        <v>206</v>
      </c>
      <c r="H122" s="39">
        <v>144800</v>
      </c>
      <c r="I122" s="50">
        <v>545000</v>
      </c>
      <c r="J122" s="49">
        <f t="shared" si="22"/>
        <v>3.7638121546961325</v>
      </c>
      <c r="K122" s="19" t="s">
        <v>207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57" customHeight="1">
      <c r="A123" s="1"/>
      <c r="B123" s="235"/>
      <c r="C123" s="241"/>
      <c r="D123" s="244"/>
      <c r="E123" s="37" t="s">
        <v>46</v>
      </c>
      <c r="F123" s="38" t="s">
        <v>208</v>
      </c>
      <c r="G123" s="38" t="s">
        <v>209</v>
      </c>
      <c r="H123" s="39">
        <v>2298270</v>
      </c>
      <c r="I123" s="50">
        <v>2445000</v>
      </c>
      <c r="J123" s="49">
        <f t="shared" si="22"/>
        <v>1.063843673719798</v>
      </c>
      <c r="K123" s="51" t="s">
        <v>210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235"/>
      <c r="C124" s="241"/>
      <c r="D124" s="253"/>
      <c r="E124" s="267" t="s">
        <v>22</v>
      </c>
      <c r="F124" s="268"/>
      <c r="G124" s="269"/>
      <c r="H124" s="94">
        <v>11443070</v>
      </c>
      <c r="I124" s="94">
        <f>SUM(I121:I123)</f>
        <v>2990000</v>
      </c>
      <c r="J124" s="95">
        <f t="shared" ref="J124:J137" si="24">I124/H124</f>
        <v>0.26129351651261418</v>
      </c>
      <c r="K124" s="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235"/>
      <c r="C125" s="260"/>
      <c r="D125" s="264" t="s">
        <v>72</v>
      </c>
      <c r="E125" s="265"/>
      <c r="F125" s="265"/>
      <c r="G125" s="266"/>
      <c r="H125" s="103">
        <v>11443070</v>
      </c>
      <c r="I125" s="103">
        <f>SUM(I120,I124)</f>
        <v>3990000</v>
      </c>
      <c r="J125" s="104">
        <f t="shared" si="24"/>
        <v>0.34868265247001023</v>
      </c>
      <c r="K125" s="2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235"/>
      <c r="C126" s="255" t="s">
        <v>211</v>
      </c>
      <c r="D126" s="261" t="s">
        <v>212</v>
      </c>
      <c r="E126" s="99" t="s">
        <v>11</v>
      </c>
      <c r="F126" s="99" t="s">
        <v>212</v>
      </c>
      <c r="G126" s="99" t="s">
        <v>213</v>
      </c>
      <c r="H126" s="100">
        <v>198200</v>
      </c>
      <c r="I126" s="100">
        <v>200000</v>
      </c>
      <c r="J126" s="113">
        <f t="shared" si="24"/>
        <v>1.0090817356205852</v>
      </c>
      <c r="K126" s="11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 customHeight="1">
      <c r="A127" s="1"/>
      <c r="B127" s="235"/>
      <c r="C127" s="241"/>
      <c r="D127" s="253"/>
      <c r="E127" s="267" t="s">
        <v>22</v>
      </c>
      <c r="F127" s="268"/>
      <c r="G127" s="269"/>
      <c r="H127" s="94">
        <v>198200</v>
      </c>
      <c r="I127" s="94">
        <f>SUM(I126)</f>
        <v>200000</v>
      </c>
      <c r="J127" s="95">
        <f t="shared" si="24"/>
        <v>1.0090817356205852</v>
      </c>
      <c r="K127" s="1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235"/>
      <c r="C128" s="241"/>
      <c r="D128" s="262" t="s">
        <v>214</v>
      </c>
      <c r="E128" s="38" t="s">
        <v>11</v>
      </c>
      <c r="F128" s="38" t="s">
        <v>215</v>
      </c>
      <c r="G128" s="38" t="s">
        <v>216</v>
      </c>
      <c r="H128" s="39">
        <v>497250</v>
      </c>
      <c r="I128" s="39">
        <v>500000</v>
      </c>
      <c r="J128" s="49">
        <f t="shared" si="24"/>
        <v>1.0055304172951232</v>
      </c>
      <c r="K128" s="51" t="s">
        <v>217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235"/>
      <c r="C129" s="241"/>
      <c r="D129" s="253"/>
      <c r="E129" s="267" t="s">
        <v>22</v>
      </c>
      <c r="F129" s="268"/>
      <c r="G129" s="269"/>
      <c r="H129" s="94">
        <v>497250</v>
      </c>
      <c r="I129" s="94">
        <f>SUM(I128)</f>
        <v>500000</v>
      </c>
      <c r="J129" s="95">
        <f t="shared" si="24"/>
        <v>1.0055304172951232</v>
      </c>
      <c r="K129" s="1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235"/>
      <c r="C130" s="241"/>
      <c r="D130" s="262" t="s">
        <v>218</v>
      </c>
      <c r="E130" s="38" t="s">
        <v>11</v>
      </c>
      <c r="F130" s="38" t="s">
        <v>219</v>
      </c>
      <c r="G130" s="38" t="s">
        <v>220</v>
      </c>
      <c r="H130" s="39">
        <v>968000</v>
      </c>
      <c r="I130" s="39">
        <v>1000000</v>
      </c>
      <c r="J130" s="49">
        <f t="shared" si="24"/>
        <v>1.0330578512396693</v>
      </c>
      <c r="K130" s="51" t="s">
        <v>221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235"/>
      <c r="C131" s="241"/>
      <c r="D131" s="253"/>
      <c r="E131" s="267" t="s">
        <v>22</v>
      </c>
      <c r="F131" s="268"/>
      <c r="G131" s="269"/>
      <c r="H131" s="94">
        <v>968000</v>
      </c>
      <c r="I131" s="94">
        <f>SUM(I130)</f>
        <v>1000000</v>
      </c>
      <c r="J131" s="95">
        <f t="shared" si="24"/>
        <v>1.0330578512396693</v>
      </c>
      <c r="K131" s="1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235"/>
      <c r="C132" s="241"/>
      <c r="D132" s="262" t="s">
        <v>91</v>
      </c>
      <c r="E132" s="38" t="s">
        <v>11</v>
      </c>
      <c r="F132" s="38" t="s">
        <v>91</v>
      </c>
      <c r="G132" s="38" t="s">
        <v>222</v>
      </c>
      <c r="H132" s="39">
        <v>986080</v>
      </c>
      <c r="I132" s="39">
        <v>1000000</v>
      </c>
      <c r="J132" s="49">
        <f t="shared" si="24"/>
        <v>1.0141165017037157</v>
      </c>
      <c r="K132" s="1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235"/>
      <c r="C133" s="241"/>
      <c r="D133" s="244"/>
      <c r="E133" s="267" t="s">
        <v>22</v>
      </c>
      <c r="F133" s="268"/>
      <c r="G133" s="269"/>
      <c r="H133" s="94">
        <v>986080</v>
      </c>
      <c r="I133" s="94">
        <f>SUM(I132)</f>
        <v>1000000</v>
      </c>
      <c r="J133" s="95">
        <f t="shared" si="24"/>
        <v>1.0141165017037157</v>
      </c>
      <c r="K133" s="1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235"/>
      <c r="C134" s="241"/>
      <c r="D134" s="262" t="s">
        <v>223</v>
      </c>
      <c r="E134" s="38" t="s">
        <v>23</v>
      </c>
      <c r="F134" s="37" t="s">
        <v>224</v>
      </c>
      <c r="G134" s="38" t="s">
        <v>225</v>
      </c>
      <c r="H134" s="39">
        <v>966000</v>
      </c>
      <c r="I134" s="39">
        <v>1000000</v>
      </c>
      <c r="J134" s="49">
        <f t="shared" si="24"/>
        <v>1.0351966873706004</v>
      </c>
      <c r="K134" s="51" t="s">
        <v>226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235"/>
      <c r="C135" s="241"/>
      <c r="D135" s="244"/>
      <c r="E135" s="270" t="s">
        <v>22</v>
      </c>
      <c r="F135" s="271"/>
      <c r="G135" s="272"/>
      <c r="H135" s="94">
        <v>966000</v>
      </c>
      <c r="I135" s="94">
        <f>SUM(I134)</f>
        <v>1000000</v>
      </c>
      <c r="J135" s="95">
        <f t="shared" si="24"/>
        <v>1.0351966873706004</v>
      </c>
      <c r="K135" s="1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235"/>
      <c r="C136" s="260"/>
      <c r="D136" s="264" t="s">
        <v>72</v>
      </c>
      <c r="E136" s="265"/>
      <c r="F136" s="265"/>
      <c r="G136" s="266"/>
      <c r="H136" s="103">
        <v>3615530</v>
      </c>
      <c r="I136" s="103">
        <f>SUM(I127,I129,I131,I133,I135)</f>
        <v>3700000</v>
      </c>
      <c r="J136" s="104">
        <f t="shared" si="24"/>
        <v>1.0233631030581962</v>
      </c>
      <c r="K136" s="2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236"/>
      <c r="C137" s="309" t="s">
        <v>227</v>
      </c>
      <c r="D137" s="310"/>
      <c r="E137" s="310"/>
      <c r="F137" s="310"/>
      <c r="G137" s="311"/>
      <c r="H137" s="120">
        <v>25556560</v>
      </c>
      <c r="I137" s="120">
        <f>I59+I82+I92+I97+I102+I109+I112+I125+I136</f>
        <v>22340000</v>
      </c>
      <c r="J137" s="121">
        <f t="shared" si="24"/>
        <v>0.874139555558338</v>
      </c>
      <c r="K137" s="122" t="s">
        <v>228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2"/>
      <c r="I138" s="2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312" t="s">
        <v>229</v>
      </c>
      <c r="H139" s="301"/>
      <c r="I139" s="301"/>
      <c r="J139" s="302"/>
      <c r="K139" s="31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23" t="s">
        <v>59</v>
      </c>
      <c r="H140" s="124" t="s">
        <v>6</v>
      </c>
      <c r="I140" s="124" t="s">
        <v>7</v>
      </c>
      <c r="J140" s="125" t="s">
        <v>365</v>
      </c>
      <c r="K140" s="28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26" t="s">
        <v>230</v>
      </c>
      <c r="H141" s="127">
        <f t="shared" ref="H141:I141" si="25">H12</f>
        <v>3458750</v>
      </c>
      <c r="I141" s="127">
        <f t="shared" si="25"/>
        <v>3577009</v>
      </c>
      <c r="J141" s="128">
        <f t="shared" ref="J141:J142" si="26">I141/H141</f>
        <v>1.0341912540657752</v>
      </c>
      <c r="K141" s="28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26" t="s">
        <v>60</v>
      </c>
      <c r="H142" s="129">
        <f t="shared" ref="H142:I142" si="27">H52</f>
        <v>3269610</v>
      </c>
      <c r="I142" s="129">
        <f t="shared" si="27"/>
        <v>3283840</v>
      </c>
      <c r="J142" s="128">
        <f t="shared" si="26"/>
        <v>1.0043522010270338</v>
      </c>
      <c r="K142" s="28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"/>
      <c r="B143" s="1"/>
      <c r="C143" s="1"/>
      <c r="D143" s="1"/>
      <c r="E143" s="1"/>
      <c r="F143" s="1"/>
      <c r="G143" s="130" t="s">
        <v>231</v>
      </c>
      <c r="H143" s="131">
        <f t="shared" ref="H143:I143" si="28">H141-H142</f>
        <v>189140</v>
      </c>
      <c r="I143" s="131">
        <f t="shared" si="28"/>
        <v>293169</v>
      </c>
      <c r="J143" s="132">
        <f>H143/I143</f>
        <v>0.645156889029877</v>
      </c>
      <c r="K143" s="28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33"/>
      <c r="H144" s="134"/>
      <c r="I144" s="134"/>
      <c r="J144" s="135"/>
      <c r="K144" s="28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36" t="s">
        <v>11</v>
      </c>
      <c r="H145" s="124" t="s">
        <v>6</v>
      </c>
      <c r="I145" s="124" t="s">
        <v>7</v>
      </c>
      <c r="J145" s="137" t="s">
        <v>232</v>
      </c>
      <c r="K145" s="28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38" t="s">
        <v>1</v>
      </c>
      <c r="H146" s="139">
        <f>H4+H5+H7</f>
        <v>1215431</v>
      </c>
      <c r="I146" s="139">
        <f>I8</f>
        <v>2077009</v>
      </c>
      <c r="J146" s="140">
        <f t="shared" ref="J146:J147" si="29">IFERROR(I146/H146,"-%")</f>
        <v>1.7088662375733381</v>
      </c>
      <c r="K146" s="28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38" t="s">
        <v>60</v>
      </c>
      <c r="H147" s="139">
        <f>H32+H34+H45+H51</f>
        <v>944380</v>
      </c>
      <c r="I147" s="139">
        <f>I33+I34+I47+I49</f>
        <v>1783840</v>
      </c>
      <c r="J147" s="140">
        <f t="shared" si="29"/>
        <v>1.8889006543975941</v>
      </c>
      <c r="K147" s="28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41" t="s">
        <v>231</v>
      </c>
      <c r="H148" s="142">
        <f t="shared" ref="H148:I148" si="30">H146-H147</f>
        <v>271051</v>
      </c>
      <c r="I148" s="142">
        <f t="shared" si="30"/>
        <v>293169</v>
      </c>
      <c r="J148" s="143">
        <f>IFERROR(I148/H148, "%")</f>
        <v>1.0816008795392749</v>
      </c>
      <c r="K148" s="28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33"/>
      <c r="H149" s="134"/>
      <c r="I149" s="134"/>
      <c r="J149" s="135"/>
      <c r="K149" s="28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36" t="s">
        <v>23</v>
      </c>
      <c r="H150" s="124" t="s">
        <v>6</v>
      </c>
      <c r="I150" s="124" t="s">
        <v>7</v>
      </c>
      <c r="J150" s="137" t="s">
        <v>232</v>
      </c>
      <c r="K150" s="28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38" t="s">
        <v>1</v>
      </c>
      <c r="H151" s="144">
        <v>2329937</v>
      </c>
      <c r="I151" s="139">
        <f>I11</f>
        <v>1500000</v>
      </c>
      <c r="J151" s="145">
        <f t="shared" ref="J151:J153" si="31">IFERROR(I151/H151,"-%")</f>
        <v>0.64379423134616942</v>
      </c>
      <c r="K151" s="28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38" t="s">
        <v>60</v>
      </c>
      <c r="H152" s="139">
        <f>H41</f>
        <v>1114330</v>
      </c>
      <c r="I152" s="139">
        <f>I37</f>
        <v>1500000</v>
      </c>
      <c r="J152" s="145">
        <f t="shared" si="31"/>
        <v>1.3461003472938895</v>
      </c>
      <c r="K152" s="28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41" t="s">
        <v>231</v>
      </c>
      <c r="H153" s="142">
        <f t="shared" ref="H153:I153" si="32">H151-H152</f>
        <v>1215607</v>
      </c>
      <c r="I153" s="142">
        <f t="shared" si="32"/>
        <v>0</v>
      </c>
      <c r="J153" s="143">
        <f t="shared" si="31"/>
        <v>0</v>
      </c>
      <c r="K153" s="28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57"/>
      <c r="H154" s="146"/>
      <c r="I154" s="146"/>
      <c r="J154" s="14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312" t="s">
        <v>233</v>
      </c>
      <c r="H155" s="301"/>
      <c r="I155" s="301"/>
      <c r="J155" s="30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23" t="s">
        <v>59</v>
      </c>
      <c r="H156" s="124" t="s">
        <v>30</v>
      </c>
      <c r="I156" s="124" t="s">
        <v>234</v>
      </c>
      <c r="J156" s="125" t="s">
        <v>365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26" t="s">
        <v>230</v>
      </c>
      <c r="H157" s="127">
        <f t="shared" ref="H157:I157" si="33">H28</f>
        <v>35635567</v>
      </c>
      <c r="I157" s="127">
        <f t="shared" si="33"/>
        <v>22340000</v>
      </c>
      <c r="J157" s="128">
        <f t="shared" ref="J157:J159" si="34">I157/H157</f>
        <v>0.62690176923521379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26" t="s">
        <v>60</v>
      </c>
      <c r="H158" s="129">
        <f t="shared" ref="H158:I158" si="35">H137</f>
        <v>25556560</v>
      </c>
      <c r="I158" s="129">
        <f t="shared" si="35"/>
        <v>22340000</v>
      </c>
      <c r="J158" s="128">
        <f t="shared" si="34"/>
        <v>0.874139555558338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30" t="s">
        <v>231</v>
      </c>
      <c r="H159" s="131">
        <f t="shared" ref="H159:I159" si="36">H157-H158</f>
        <v>10079007</v>
      </c>
      <c r="I159" s="131">
        <f t="shared" si="36"/>
        <v>0</v>
      </c>
      <c r="J159" s="132">
        <f t="shared" si="34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48"/>
      <c r="H160" s="149"/>
      <c r="I160" s="149"/>
      <c r="J160" s="15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36" t="s">
        <v>11</v>
      </c>
      <c r="H161" s="151" t="s">
        <v>30</v>
      </c>
      <c r="I161" s="151" t="s">
        <v>234</v>
      </c>
      <c r="J161" s="137" t="s">
        <v>232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38" t="s">
        <v>1</v>
      </c>
      <c r="H162" s="139">
        <f>H20+H21+H23</f>
        <v>16000000</v>
      </c>
      <c r="I162" s="139">
        <f>I18</f>
        <v>7895000</v>
      </c>
      <c r="J162" s="140">
        <f t="shared" ref="J162:J163" si="37">IFERROR(I162/H162,"-%")</f>
        <v>0.49343749999999997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38" t="s">
        <v>60</v>
      </c>
      <c r="H163" s="139">
        <f>H48+H50+H61+H67</f>
        <v>2812580</v>
      </c>
      <c r="I163" s="139">
        <f>I55+I66+I67+I75+I76+I93+I95+I104+I106+I122+I126+I128+I130+I132</f>
        <v>7895000</v>
      </c>
      <c r="J163" s="140">
        <f t="shared" si="37"/>
        <v>2.8070312666661925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41" t="s">
        <v>231</v>
      </c>
      <c r="H164" s="142">
        <f t="shared" ref="H164:I164" si="38">H162-H163</f>
        <v>13187420</v>
      </c>
      <c r="I164" s="142">
        <f t="shared" si="38"/>
        <v>0</v>
      </c>
      <c r="J164" s="143">
        <f>IFERROR(I164/H164, "%")</f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26"/>
      <c r="H165" s="28"/>
      <c r="I165" s="28"/>
      <c r="J165" s="15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36" t="s">
        <v>23</v>
      </c>
      <c r="H166" s="151" t="s">
        <v>30</v>
      </c>
      <c r="I166" s="151" t="s">
        <v>234</v>
      </c>
      <c r="J166" s="137" t="s">
        <v>232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38" t="s">
        <v>1</v>
      </c>
      <c r="H167" s="153">
        <v>16000000</v>
      </c>
      <c r="I167" s="139">
        <f>I21</f>
        <v>12000000</v>
      </c>
      <c r="J167" s="145">
        <f t="shared" ref="J167:J168" si="39">IFERROR(I167/H167,"-%")</f>
        <v>0.75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38" t="s">
        <v>60</v>
      </c>
      <c r="H168" s="139">
        <f>H98+H103+H110+H121+H134</f>
        <v>16366000</v>
      </c>
      <c r="I168" s="139">
        <f>I69+I70+I73+I78+I98+I100+I103+I110+I116+I134</f>
        <v>12000000</v>
      </c>
      <c r="J168" s="145">
        <f t="shared" si="39"/>
        <v>0.73322742270560914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41" t="s">
        <v>231</v>
      </c>
      <c r="H169" s="142">
        <f t="shared" ref="H169:I169" si="40">H167-H168</f>
        <v>-366000</v>
      </c>
      <c r="I169" s="142">
        <f t="shared" si="40"/>
        <v>0</v>
      </c>
      <c r="J169" s="143">
        <v>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4"/>
      <c r="H170" s="154"/>
      <c r="I170" s="154"/>
      <c r="J170" s="6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55" t="s">
        <v>46</v>
      </c>
      <c r="H171" s="151" t="s">
        <v>30</v>
      </c>
      <c r="I171" s="151" t="s">
        <v>234</v>
      </c>
      <c r="J171" s="137" t="s">
        <v>232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38" t="s">
        <v>1</v>
      </c>
      <c r="H172" s="156">
        <v>0</v>
      </c>
      <c r="I172" s="139">
        <f>I27</f>
        <v>2445000</v>
      </c>
      <c r="J172" s="140" t="str">
        <f t="shared" ref="J172:J173" si="41">IFERROR(I172/H172,"-%")</f>
        <v>-%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38" t="s">
        <v>60</v>
      </c>
      <c r="H173" s="139">
        <f>H58+H60+H71+H77</f>
        <v>0</v>
      </c>
      <c r="I173" s="139">
        <f>I123</f>
        <v>2445000</v>
      </c>
      <c r="J173" s="140" t="str">
        <f t="shared" si="41"/>
        <v>-%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41" t="s">
        <v>231</v>
      </c>
      <c r="H174" s="142">
        <f t="shared" ref="H174:I174" si="42">H172-H173</f>
        <v>0</v>
      </c>
      <c r="I174" s="142">
        <f t="shared" si="42"/>
        <v>0</v>
      </c>
      <c r="J174" s="143" t="str">
        <f>IFERROR(I174/H174, "%")</f>
        <v>%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2"/>
      <c r="I175" s="2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2"/>
      <c r="I176" s="2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2"/>
      <c r="I177" s="2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2"/>
      <c r="I178" s="2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2"/>
      <c r="I179" s="2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2"/>
      <c r="I180" s="2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2"/>
      <c r="I181" s="2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2"/>
      <c r="I182" s="2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2"/>
      <c r="I183" s="2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2"/>
      <c r="I184" s="2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2"/>
      <c r="I185" s="2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2"/>
      <c r="I186" s="2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2"/>
      <c r="I187" s="2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2"/>
      <c r="I188" s="2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2"/>
      <c r="I189" s="2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2"/>
      <c r="I190" s="2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2"/>
      <c r="I191" s="2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2"/>
      <c r="I192" s="2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2"/>
      <c r="I193" s="2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2"/>
      <c r="I194" s="2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2"/>
      <c r="I195" s="2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2"/>
      <c r="I196" s="2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2"/>
      <c r="I197" s="2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2"/>
      <c r="I198" s="2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2"/>
      <c r="I199" s="2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2"/>
      <c r="I200" s="2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2"/>
      <c r="I201" s="2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2"/>
      <c r="I202" s="2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2"/>
      <c r="I203" s="2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2"/>
      <c r="I204" s="2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2"/>
      <c r="I205" s="2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2"/>
      <c r="I206" s="2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2"/>
      <c r="I207" s="2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2"/>
      <c r="I208" s="2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2"/>
      <c r="I209" s="2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2"/>
      <c r="I210" s="2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2"/>
      <c r="I211" s="2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2"/>
      <c r="I212" s="2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2"/>
      <c r="I213" s="2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2"/>
      <c r="I214" s="2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2"/>
      <c r="I215" s="2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2"/>
      <c r="I216" s="2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2"/>
      <c r="I217" s="2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2"/>
      <c r="I218" s="2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2"/>
      <c r="I219" s="2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2"/>
      <c r="I220" s="2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2"/>
      <c r="I221" s="2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2"/>
      <c r="I222" s="2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2"/>
      <c r="I223" s="2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2"/>
      <c r="I224" s="2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2"/>
      <c r="I225" s="2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2"/>
      <c r="I226" s="2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2"/>
      <c r="I227" s="2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2"/>
      <c r="I228" s="2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2"/>
      <c r="I229" s="2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2"/>
      <c r="I230" s="2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2"/>
      <c r="I231" s="2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2"/>
      <c r="I232" s="2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2"/>
      <c r="I233" s="2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2"/>
      <c r="I234" s="2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2"/>
      <c r="I235" s="2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2"/>
      <c r="I236" s="2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2"/>
      <c r="I237" s="2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2"/>
      <c r="I238" s="2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2"/>
      <c r="I239" s="2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2"/>
      <c r="I240" s="2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2"/>
      <c r="I241" s="2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2"/>
      <c r="I242" s="2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2"/>
      <c r="I243" s="2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2"/>
      <c r="I244" s="2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2"/>
      <c r="I245" s="2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2"/>
      <c r="I246" s="2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2"/>
      <c r="I247" s="2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2"/>
      <c r="I248" s="2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2"/>
      <c r="I249" s="2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2"/>
      <c r="I250" s="2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2"/>
      <c r="I251" s="2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2"/>
      <c r="I252" s="2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2"/>
      <c r="I253" s="2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2"/>
      <c r="I254" s="2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2"/>
      <c r="I255" s="2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2"/>
      <c r="I256" s="2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2"/>
      <c r="I257" s="2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2"/>
      <c r="I258" s="2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2"/>
      <c r="I259" s="2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2"/>
      <c r="I260" s="2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2"/>
      <c r="I261" s="2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2"/>
      <c r="I262" s="2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2"/>
      <c r="I263" s="2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2"/>
      <c r="I264" s="2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2"/>
      <c r="I265" s="2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2"/>
      <c r="I266" s="2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2"/>
      <c r="I267" s="2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2"/>
      <c r="I268" s="2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2"/>
      <c r="I269" s="2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2"/>
      <c r="I270" s="2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2"/>
      <c r="I271" s="2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2"/>
      <c r="I272" s="2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2"/>
      <c r="I273" s="2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2"/>
      <c r="I274" s="2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2"/>
      <c r="I275" s="2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2"/>
      <c r="I276" s="2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2"/>
      <c r="I277" s="2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2"/>
      <c r="I278" s="2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2"/>
      <c r="I279" s="2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2"/>
      <c r="I280" s="2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2"/>
      <c r="I281" s="2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2"/>
      <c r="I282" s="2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2"/>
      <c r="I283" s="2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2"/>
      <c r="I284" s="2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2"/>
      <c r="I285" s="2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2"/>
      <c r="I286" s="2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2"/>
      <c r="I287" s="2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2"/>
      <c r="I288" s="2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2"/>
      <c r="I289" s="2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2"/>
      <c r="I290" s="2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2"/>
      <c r="I291" s="2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2"/>
      <c r="I292" s="2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2"/>
      <c r="I293" s="2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2"/>
      <c r="I294" s="2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2"/>
      <c r="I295" s="2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2"/>
      <c r="I296" s="2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2"/>
      <c r="I297" s="2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2"/>
      <c r="I298" s="2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2"/>
      <c r="I299" s="2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2"/>
      <c r="I300" s="2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2"/>
      <c r="I301" s="2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2"/>
      <c r="I302" s="2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2"/>
      <c r="I303" s="2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2"/>
      <c r="I304" s="2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2"/>
      <c r="I305" s="2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2"/>
      <c r="I306" s="2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2"/>
      <c r="I307" s="2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2"/>
      <c r="I308" s="2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2"/>
      <c r="I309" s="2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2"/>
      <c r="I310" s="2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2"/>
      <c r="I311" s="2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2"/>
      <c r="I312" s="2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2"/>
      <c r="I313" s="2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2"/>
      <c r="I314" s="2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2"/>
      <c r="I315" s="2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2"/>
      <c r="I316" s="2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2"/>
      <c r="I317" s="2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2"/>
      <c r="I318" s="2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2"/>
      <c r="I319" s="2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2"/>
      <c r="I320" s="2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2"/>
      <c r="I321" s="2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2"/>
      <c r="I322" s="2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2"/>
      <c r="I323" s="2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2"/>
      <c r="I324" s="2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2"/>
      <c r="I325" s="2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2"/>
      <c r="I326" s="2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2"/>
      <c r="I327" s="2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2"/>
      <c r="I328" s="2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2"/>
      <c r="I329" s="2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2"/>
      <c r="I330" s="2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2"/>
      <c r="I331" s="2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2"/>
      <c r="I332" s="2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2"/>
      <c r="I333" s="2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2"/>
      <c r="I334" s="2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2"/>
      <c r="I335" s="2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2"/>
      <c r="I336" s="2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2"/>
      <c r="I337" s="2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2"/>
      <c r="I338" s="2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2"/>
      <c r="I339" s="2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2"/>
      <c r="I340" s="2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2"/>
      <c r="I341" s="2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2"/>
      <c r="I342" s="2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2"/>
      <c r="I343" s="2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2"/>
      <c r="I344" s="2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2"/>
      <c r="I345" s="2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2"/>
      <c r="I346" s="2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2"/>
      <c r="I347" s="2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2"/>
      <c r="I348" s="2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2"/>
      <c r="I349" s="2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2"/>
      <c r="I350" s="2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2"/>
      <c r="I351" s="2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2"/>
      <c r="I352" s="2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2"/>
      <c r="I353" s="2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2"/>
      <c r="I354" s="2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2"/>
      <c r="I355" s="2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2"/>
      <c r="I356" s="2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2"/>
      <c r="I357" s="2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2"/>
      <c r="I358" s="2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2"/>
      <c r="I359" s="2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:29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:29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:29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:29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:2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:29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:29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:29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:29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:29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:29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:29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:29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:2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:29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:29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:29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:29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:29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:29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1:29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1:29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1:29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1:2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1:29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1:29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1:29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1:29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1:29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1:29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1:29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1: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1:29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1:29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1:29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1:29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1:29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1:29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1:29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1:29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1:29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1:29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1:29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1:29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1:29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1:29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1:29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1:29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1:29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1:29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1:29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1:29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1:29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1:29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1:29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1:2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1:29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1:29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1:29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1:29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1:29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1:29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1:29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1:29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1:2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1:29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1:29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1:29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1:29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1:29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1:29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1:29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1:29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1:29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1:29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1:29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1:29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1:2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1:29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1:29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1:29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1:29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1:29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1:2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1:29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1:29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1:29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1:29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1:29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1:29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1:29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1:2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1:29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1:29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1:29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1:29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1:29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29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1:29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1:29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1:2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29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29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1:29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1:29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1:29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1:29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1:29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1:29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1:29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1: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1:29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1:29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1:29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1:29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1:29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1:29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1:29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1:29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1:29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1:2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1:29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1:29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1:29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1:29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1:29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1:29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1:29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1:2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1:29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1:29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1:29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1:29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1:29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1:29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1:29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1:2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1:29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1:29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1:29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1:29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1:29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1:29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1:29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1:2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1:29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1:29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1:29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1:29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1:29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1:29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1:29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1:29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1:2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1:29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1:29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1:29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1:29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1:29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1:29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1:29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1:29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1:2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1:29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1:29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1:29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1:29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1:29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1:29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1:29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1:29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1:29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1:2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1:29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1:29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1:29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1:29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1:29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1:29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1:29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1:2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1:29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1:29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1:29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1:29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1:29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1:29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1:29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1:29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1:29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1:29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1:29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1:29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1:29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1:29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1:29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1:29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1: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1:29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1:29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1:29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1:29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1:29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1:29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1:29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1:29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1:2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1:29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1:29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1:29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1:29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1:29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1:29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1:29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1:29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1:2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1:29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 spans="1:29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 spans="1:29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 spans="1:29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 spans="1:29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 spans="1:29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 spans="1:29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 spans="1:29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 spans="1:29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 spans="1:2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 spans="1:29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 spans="1:29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 spans="1:29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 spans="1:29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 spans="1:29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 spans="1:29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 spans="1:29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 spans="1:29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 spans="1:2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 spans="1:29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 spans="1:29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 spans="1:29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 spans="1:29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 spans="1:29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 spans="1:29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 spans="1:29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 spans="1:29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 spans="1:2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 spans="1:29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 spans="1:29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 spans="1:29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 spans="1:29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 spans="1:29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 spans="1:29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 spans="1:29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 spans="1:29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 spans="1:29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 spans="1:29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 spans="1:29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 spans="1:2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 spans="1:29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 spans="1:29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 spans="1:29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 spans="1:29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 spans="1:29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 spans="1:29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 spans="1:29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1:29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 spans="1:29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 spans="1:2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 spans="1:29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 spans="1:29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 spans="1:29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 spans="1:29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 spans="1:29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 spans="1:29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 spans="1:29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 spans="1:29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 spans="1: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 spans="1:29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 spans="1:29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 spans="1:29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 spans="1:29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 spans="1:29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 spans="1:29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 spans="1:29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 spans="1:2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 spans="1:29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 spans="1:29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 spans="1:29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 spans="1:29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 spans="1:29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 spans="1:29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 spans="1:2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 spans="1:29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 spans="1:29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 spans="1:29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 spans="1:29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 spans="1:29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 spans="1:29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 spans="1:29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 spans="1:29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 spans="1:29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 spans="1:29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 spans="1:29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 spans="1:29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 spans="1:29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 spans="1:29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 spans="1:29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 spans="1:29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 spans="1:2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 spans="1:29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 spans="1:29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 spans="1:29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 spans="1:29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 spans="1:29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 spans="1:29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 spans="1:29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 spans="1:29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 spans="1:29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 spans="1:2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 spans="1:29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 spans="1:29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 spans="1:29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 spans="1:29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 spans="1:29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 spans="1:29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 spans="1:29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 spans="1:29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 spans="1:29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 spans="1:2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 spans="1:29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 spans="1:29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 spans="1:29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 spans="1:29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 spans="1:29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 spans="1:29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 spans="1:29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 spans="1:29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 spans="1:29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 spans="1:2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 spans="1:29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  <row r="1001" spans="1:29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</row>
    <row r="1002" spans="1:29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</row>
    <row r="1003" spans="1:29" ht="15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</row>
    <row r="1004" spans="1:29" ht="15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</row>
    <row r="1005" spans="1:29" ht="15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</row>
    <row r="1006" spans="1:29" ht="15.75" customHeigh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</row>
    <row r="1007" spans="1:29" ht="15.75" customHeigh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</row>
    <row r="1008" spans="1:29" ht="15.75" customHeight="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</row>
    <row r="1009" spans="1:29" ht="15.75" customHeight="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</row>
    <row r="1010" spans="1:29" ht="15.75" customHeight="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</row>
    <row r="1011" spans="1:29" ht="15.75" customHeight="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</row>
    <row r="1012" spans="1:29" ht="15.75" customHeight="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</row>
    <row r="1013" spans="1:29" ht="15.75" customHeight="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</row>
    <row r="1014" spans="1:29" ht="15.75" customHeight="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</row>
    <row r="1015" spans="1:29" ht="15.75" customHeight="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</row>
    <row r="1016" spans="1:29" ht="15.75" customHeight="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</row>
    <row r="1017" spans="1:29" ht="15.75" customHeight="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</row>
    <row r="1018" spans="1:29" ht="15.75" customHeight="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</row>
    <row r="1019" spans="1:29" ht="15.75" customHeight="1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</row>
    <row r="1020" spans="1:29" ht="15.75" customHeight="1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</row>
  </sheetData>
  <mergeCells count="115">
    <mergeCell ref="K103:K104"/>
    <mergeCell ref="E105:G105"/>
    <mergeCell ref="K83:K91"/>
    <mergeCell ref="E86:G86"/>
    <mergeCell ref="E89:G89"/>
    <mergeCell ref="E91:G91"/>
    <mergeCell ref="D92:G92"/>
    <mergeCell ref="E94:G94"/>
    <mergeCell ref="I43:I44"/>
    <mergeCell ref="J43:J44"/>
    <mergeCell ref="K43:K46"/>
    <mergeCell ref="K47:K48"/>
    <mergeCell ref="K60:K65"/>
    <mergeCell ref="K66:K67"/>
    <mergeCell ref="K69:K73"/>
    <mergeCell ref="C137:G137"/>
    <mergeCell ref="G139:J139"/>
    <mergeCell ref="K139:K153"/>
    <mergeCell ref="G155:J155"/>
    <mergeCell ref="E114:G114"/>
    <mergeCell ref="D115:G115"/>
    <mergeCell ref="E120:G120"/>
    <mergeCell ref="E124:G124"/>
    <mergeCell ref="D125:G125"/>
    <mergeCell ref="E127:G127"/>
    <mergeCell ref="E129:G129"/>
    <mergeCell ref="F11:G11"/>
    <mergeCell ref="F18:G18"/>
    <mergeCell ref="E19:E21"/>
    <mergeCell ref="F21:G21"/>
    <mergeCell ref="D2:K2"/>
    <mergeCell ref="D4:D11"/>
    <mergeCell ref="E4:E8"/>
    <mergeCell ref="F8:G8"/>
    <mergeCell ref="E12:G12"/>
    <mergeCell ref="D14:D28"/>
    <mergeCell ref="M15:M28"/>
    <mergeCell ref="E28:G28"/>
    <mergeCell ref="E22:E27"/>
    <mergeCell ref="F27:G27"/>
    <mergeCell ref="B30:K30"/>
    <mergeCell ref="E33:G33"/>
    <mergeCell ref="E35:G35"/>
    <mergeCell ref="D36:G36"/>
    <mergeCell ref="I37:I40"/>
    <mergeCell ref="C37:C42"/>
    <mergeCell ref="J37:J40"/>
    <mergeCell ref="K37:K42"/>
    <mergeCell ref="C43:C46"/>
    <mergeCell ref="E50:G50"/>
    <mergeCell ref="E56:G56"/>
    <mergeCell ref="E58:G58"/>
    <mergeCell ref="D59:G59"/>
    <mergeCell ref="E41:G41"/>
    <mergeCell ref="D42:G42"/>
    <mergeCell ref="E45:G45"/>
    <mergeCell ref="D46:G46"/>
    <mergeCell ref="E48:G48"/>
    <mergeCell ref="D51:G51"/>
    <mergeCell ref="C52:G52"/>
    <mergeCell ref="C54:C82"/>
    <mergeCell ref="D43:D45"/>
    <mergeCell ref="C47:C51"/>
    <mergeCell ref="D47:D48"/>
    <mergeCell ref="D49:D50"/>
    <mergeCell ref="E74:G74"/>
    <mergeCell ref="E81:G81"/>
    <mergeCell ref="D82:G82"/>
    <mergeCell ref="C83:C92"/>
    <mergeCell ref="D116:D120"/>
    <mergeCell ref="D121:D124"/>
    <mergeCell ref="C126:C136"/>
    <mergeCell ref="D126:D127"/>
    <mergeCell ref="D128:D129"/>
    <mergeCell ref="D130:D131"/>
    <mergeCell ref="D132:D133"/>
    <mergeCell ref="D134:D135"/>
    <mergeCell ref="C113:C125"/>
    <mergeCell ref="D113:D114"/>
    <mergeCell ref="D112:G112"/>
    <mergeCell ref="E131:G131"/>
    <mergeCell ref="E133:G133"/>
    <mergeCell ref="E135:G135"/>
    <mergeCell ref="D136:G136"/>
    <mergeCell ref="E96:G96"/>
    <mergeCell ref="D97:G97"/>
    <mergeCell ref="E101:G101"/>
    <mergeCell ref="D102:G102"/>
    <mergeCell ref="E108:G108"/>
    <mergeCell ref="D109:G109"/>
    <mergeCell ref="E111:G111"/>
    <mergeCell ref="B54:B137"/>
    <mergeCell ref="D54:D56"/>
    <mergeCell ref="D75:D81"/>
    <mergeCell ref="E9:E11"/>
    <mergeCell ref="E14:E18"/>
    <mergeCell ref="B32:B52"/>
    <mergeCell ref="C32:C36"/>
    <mergeCell ref="D32:D33"/>
    <mergeCell ref="D34:D35"/>
    <mergeCell ref="D37:D41"/>
    <mergeCell ref="D57:D58"/>
    <mergeCell ref="D60:D74"/>
    <mergeCell ref="D83:D86"/>
    <mergeCell ref="D87:D89"/>
    <mergeCell ref="D90:D91"/>
    <mergeCell ref="C93:C97"/>
    <mergeCell ref="D93:D94"/>
    <mergeCell ref="D95:D96"/>
    <mergeCell ref="C98:C109"/>
    <mergeCell ref="D98:D101"/>
    <mergeCell ref="D103:D105"/>
    <mergeCell ref="D106:D108"/>
    <mergeCell ref="C110:C112"/>
    <mergeCell ref="D110:D111"/>
  </mergeCells>
  <phoneticPr fontId="9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C2:L145"/>
  <sheetViews>
    <sheetView topLeftCell="A121" workbookViewId="0">
      <selection activeCell="L140" sqref="L140"/>
    </sheetView>
  </sheetViews>
  <sheetFormatPr baseColWidth="10" defaultColWidth="14.5" defaultRowHeight="15" customHeight="1"/>
  <cols>
    <col min="7" max="7" width="23.33203125" customWidth="1"/>
    <col min="9" max="9" width="19" customWidth="1"/>
    <col min="10" max="10" width="17.5" customWidth="1"/>
    <col min="12" max="12" width="39.5" customWidth="1"/>
  </cols>
  <sheetData>
    <row r="2" spans="3:12" ht="13">
      <c r="C2" s="157"/>
      <c r="D2" s="158"/>
      <c r="E2" s="158"/>
      <c r="F2" s="158"/>
      <c r="G2" s="158"/>
      <c r="H2" s="158"/>
      <c r="I2" s="158"/>
      <c r="J2" s="158"/>
      <c r="K2" s="159"/>
      <c r="L2" s="157"/>
    </row>
    <row r="3" spans="3:12" ht="18" customHeight="1">
      <c r="C3" s="160"/>
      <c r="D3" s="335" t="s">
        <v>1</v>
      </c>
      <c r="E3" s="336"/>
      <c r="F3" s="336"/>
      <c r="G3" s="336"/>
      <c r="H3" s="336"/>
      <c r="I3" s="336"/>
      <c r="J3" s="336"/>
      <c r="K3" s="239"/>
      <c r="L3" s="161"/>
    </row>
    <row r="4" spans="3:12" ht="18" customHeight="1">
      <c r="C4" s="160"/>
      <c r="D4" s="162" t="s">
        <v>235</v>
      </c>
      <c r="E4" s="163" t="s">
        <v>3</v>
      </c>
      <c r="F4" s="163" t="s">
        <v>4</v>
      </c>
      <c r="G4" s="163" t="s">
        <v>5</v>
      </c>
      <c r="H4" s="163" t="s">
        <v>236</v>
      </c>
      <c r="I4" s="163" t="s">
        <v>237</v>
      </c>
      <c r="J4" s="163" t="s">
        <v>96</v>
      </c>
      <c r="K4" s="163" t="s">
        <v>9</v>
      </c>
      <c r="L4" s="161"/>
    </row>
    <row r="5" spans="3:12" ht="18" customHeight="1">
      <c r="C5" s="160"/>
      <c r="D5" s="254" t="s">
        <v>238</v>
      </c>
      <c r="E5" s="262" t="s">
        <v>11</v>
      </c>
      <c r="F5" s="163" t="s">
        <v>36</v>
      </c>
      <c r="G5" s="39" t="s">
        <v>13</v>
      </c>
      <c r="H5" s="39">
        <v>1036897</v>
      </c>
      <c r="I5" s="164">
        <v>3952501</v>
      </c>
      <c r="J5" s="165">
        <f t="shared" ref="J5:J11" si="0">I5/H5</f>
        <v>3.811854986560864</v>
      </c>
      <c r="K5" s="166"/>
      <c r="L5" s="161"/>
    </row>
    <row r="6" spans="3:12" ht="18" customHeight="1">
      <c r="C6" s="160"/>
      <c r="D6" s="238"/>
      <c r="E6" s="244"/>
      <c r="F6" s="167" t="s">
        <v>239</v>
      </c>
      <c r="G6" s="168" t="s">
        <v>15</v>
      </c>
      <c r="H6" s="39">
        <v>5500000</v>
      </c>
      <c r="I6" s="169">
        <v>6150000</v>
      </c>
      <c r="J6" s="170">
        <f t="shared" si="0"/>
        <v>1.1181818181818182</v>
      </c>
      <c r="K6" s="166"/>
      <c r="L6" s="161"/>
    </row>
    <row r="7" spans="3:12" ht="46.5" customHeight="1">
      <c r="C7" s="160"/>
      <c r="D7" s="238"/>
      <c r="E7" s="244"/>
      <c r="F7" s="167" t="s">
        <v>240</v>
      </c>
      <c r="G7" s="168" t="s">
        <v>18</v>
      </c>
      <c r="H7" s="39">
        <v>10000000</v>
      </c>
      <c r="I7" s="169">
        <v>0</v>
      </c>
      <c r="J7" s="170">
        <f t="shared" si="0"/>
        <v>0</v>
      </c>
      <c r="K7" s="171" t="s">
        <v>241</v>
      </c>
      <c r="L7" s="161"/>
    </row>
    <row r="8" spans="3:12" ht="18" customHeight="1">
      <c r="C8" s="160"/>
      <c r="D8" s="238"/>
      <c r="E8" s="253"/>
      <c r="F8" s="163" t="s">
        <v>41</v>
      </c>
      <c r="G8" s="164" t="s">
        <v>21</v>
      </c>
      <c r="H8" s="169">
        <v>515</v>
      </c>
      <c r="I8" s="169">
        <v>0</v>
      </c>
      <c r="J8" s="165">
        <f t="shared" si="0"/>
        <v>0</v>
      </c>
      <c r="K8" s="166"/>
      <c r="L8" s="161"/>
    </row>
    <row r="9" spans="3:12" ht="18" customHeight="1">
      <c r="C9" s="160"/>
      <c r="D9" s="238"/>
      <c r="E9" s="337" t="s">
        <v>22</v>
      </c>
      <c r="F9" s="268"/>
      <c r="G9" s="269"/>
      <c r="H9" s="172">
        <f t="shared" ref="H9:I9" si="1">SUM(H5:H8)</f>
        <v>16537412</v>
      </c>
      <c r="I9" s="172">
        <f t="shared" si="1"/>
        <v>10102501</v>
      </c>
      <c r="J9" s="165">
        <f t="shared" si="0"/>
        <v>0.61088766488976631</v>
      </c>
      <c r="K9" s="166"/>
      <c r="L9" s="161"/>
    </row>
    <row r="10" spans="3:12" ht="18" customHeight="1">
      <c r="C10" s="160"/>
      <c r="D10" s="238"/>
      <c r="E10" s="164" t="s">
        <v>23</v>
      </c>
      <c r="F10" s="169" t="s">
        <v>23</v>
      </c>
      <c r="G10" s="168" t="s">
        <v>25</v>
      </c>
      <c r="H10" s="39">
        <v>45419310</v>
      </c>
      <c r="I10" s="169">
        <v>51400000</v>
      </c>
      <c r="J10" s="170">
        <f t="shared" si="0"/>
        <v>1.131677253573425</v>
      </c>
      <c r="K10" s="166"/>
      <c r="L10" s="161"/>
    </row>
    <row r="11" spans="3:12" ht="18" customHeight="1">
      <c r="C11" s="160"/>
      <c r="D11" s="238"/>
      <c r="E11" s="337" t="s">
        <v>22</v>
      </c>
      <c r="F11" s="268"/>
      <c r="G11" s="269"/>
      <c r="H11" s="172">
        <f>H10</f>
        <v>45419310</v>
      </c>
      <c r="I11" s="172">
        <f>SUM(I10)</f>
        <v>51400000</v>
      </c>
      <c r="J11" s="165">
        <f t="shared" si="0"/>
        <v>1.131677253573425</v>
      </c>
      <c r="K11" s="166"/>
      <c r="L11" s="161"/>
    </row>
    <row r="12" spans="3:12" ht="18" customHeight="1">
      <c r="C12" s="160"/>
      <c r="D12" s="238"/>
      <c r="E12" s="338" t="s">
        <v>46</v>
      </c>
      <c r="F12" s="164" t="s">
        <v>242</v>
      </c>
      <c r="G12" s="164" t="s">
        <v>47</v>
      </c>
      <c r="H12" s="164">
        <v>600000</v>
      </c>
      <c r="I12" s="164" t="s">
        <v>243</v>
      </c>
      <c r="J12" s="165"/>
      <c r="K12" s="166"/>
      <c r="L12" s="161"/>
    </row>
    <row r="13" spans="3:12" ht="36.75" customHeight="1">
      <c r="C13" s="160"/>
      <c r="D13" s="238"/>
      <c r="E13" s="244"/>
      <c r="F13" s="163" t="s">
        <v>244</v>
      </c>
      <c r="G13" s="164" t="s">
        <v>49</v>
      </c>
      <c r="H13" s="164">
        <v>0</v>
      </c>
      <c r="I13" s="164">
        <v>3190000</v>
      </c>
      <c r="J13" s="165"/>
      <c r="K13" s="171" t="s">
        <v>245</v>
      </c>
      <c r="L13" s="161"/>
    </row>
    <row r="14" spans="3:12" ht="18" customHeight="1">
      <c r="C14" s="160"/>
      <c r="D14" s="238"/>
      <c r="E14" s="253"/>
      <c r="F14" s="163" t="s">
        <v>246</v>
      </c>
      <c r="G14" s="164" t="s">
        <v>52</v>
      </c>
      <c r="H14" s="164">
        <v>1000000</v>
      </c>
      <c r="I14" s="164" t="s">
        <v>243</v>
      </c>
      <c r="J14" s="165"/>
      <c r="K14" s="166"/>
      <c r="L14" s="161"/>
    </row>
    <row r="15" spans="3:12" ht="18" customHeight="1">
      <c r="C15" s="160"/>
      <c r="D15" s="238"/>
      <c r="E15" s="337" t="s">
        <v>22</v>
      </c>
      <c r="F15" s="268"/>
      <c r="G15" s="269"/>
      <c r="H15" s="172">
        <f>SUM(H12,H14)</f>
        <v>1600000</v>
      </c>
      <c r="I15" s="172">
        <f>SUM(I12:I13)</f>
        <v>3190000</v>
      </c>
      <c r="J15" s="165">
        <f t="shared" ref="J15:J16" si="2">I15/H15</f>
        <v>1.9937499999999999</v>
      </c>
      <c r="K15" s="166"/>
      <c r="L15" s="161"/>
    </row>
    <row r="16" spans="3:12" ht="18" customHeight="1">
      <c r="C16" s="160"/>
      <c r="D16" s="239"/>
      <c r="E16" s="339" t="s">
        <v>247</v>
      </c>
      <c r="F16" s="268"/>
      <c r="G16" s="269"/>
      <c r="H16" s="173">
        <f t="shared" ref="H16:I16" si="3">SUM(H9,H11,H15)</f>
        <v>63556722</v>
      </c>
      <c r="I16" s="173">
        <f t="shared" si="3"/>
        <v>64692501</v>
      </c>
      <c r="J16" s="165">
        <f t="shared" si="2"/>
        <v>1.0178703206247799</v>
      </c>
      <c r="K16" s="166"/>
      <c r="L16" s="161"/>
    </row>
    <row r="17" spans="3:12" ht="18" customHeight="1">
      <c r="C17" s="161"/>
      <c r="D17" s="161"/>
      <c r="E17" s="174"/>
      <c r="F17" s="174"/>
      <c r="G17" s="174"/>
      <c r="H17" s="174"/>
      <c r="I17" s="174"/>
      <c r="J17" s="175"/>
      <c r="K17" s="175"/>
      <c r="L17" s="161"/>
    </row>
    <row r="18" spans="3:12" ht="18" customHeight="1"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3:12" ht="33.75" customHeight="1">
      <c r="C19" s="177" t="s">
        <v>2</v>
      </c>
      <c r="D19" s="177" t="s">
        <v>61</v>
      </c>
      <c r="E19" s="177" t="s">
        <v>62</v>
      </c>
      <c r="F19" s="177" t="s">
        <v>248</v>
      </c>
      <c r="G19" s="177" t="s">
        <v>249</v>
      </c>
      <c r="H19" s="177" t="s">
        <v>5</v>
      </c>
      <c r="I19" s="177" t="s">
        <v>250</v>
      </c>
      <c r="J19" s="177" t="s">
        <v>251</v>
      </c>
      <c r="K19" s="177" t="s">
        <v>96</v>
      </c>
      <c r="L19" s="177" t="s">
        <v>9</v>
      </c>
    </row>
    <row r="20" spans="3:12" ht="18" customHeight="1">
      <c r="C20" s="262" t="s">
        <v>252</v>
      </c>
      <c r="D20" s="262" t="s">
        <v>253</v>
      </c>
      <c r="E20" s="262" t="s">
        <v>254</v>
      </c>
      <c r="F20" s="163" t="s">
        <v>23</v>
      </c>
      <c r="G20" s="163" t="s">
        <v>255</v>
      </c>
      <c r="H20" s="163" t="s">
        <v>68</v>
      </c>
      <c r="I20" s="178">
        <v>15950000</v>
      </c>
      <c r="J20" s="178">
        <v>16000000</v>
      </c>
      <c r="K20" s="179">
        <f t="shared" ref="K20:K26" si="4">J20/I20</f>
        <v>1.0031347962382444</v>
      </c>
      <c r="L20" s="180"/>
    </row>
    <row r="21" spans="3:12" ht="18" customHeight="1">
      <c r="C21" s="244"/>
      <c r="D21" s="244"/>
      <c r="E21" s="244"/>
      <c r="F21" s="163" t="s">
        <v>23</v>
      </c>
      <c r="G21" s="163" t="s">
        <v>256</v>
      </c>
      <c r="H21" s="163" t="s">
        <v>102</v>
      </c>
      <c r="I21" s="178">
        <v>10090000</v>
      </c>
      <c r="J21" s="178">
        <v>10100000</v>
      </c>
      <c r="K21" s="179">
        <f t="shared" si="4"/>
        <v>1.0009910802775024</v>
      </c>
      <c r="L21" s="180"/>
    </row>
    <row r="22" spans="3:12" ht="18" customHeight="1">
      <c r="C22" s="244"/>
      <c r="D22" s="244"/>
      <c r="E22" s="244"/>
      <c r="F22" s="163" t="s">
        <v>23</v>
      </c>
      <c r="G22" s="163" t="s">
        <v>257</v>
      </c>
      <c r="H22" s="163" t="s">
        <v>258</v>
      </c>
      <c r="I22" s="178">
        <v>1990500</v>
      </c>
      <c r="J22" s="178">
        <v>2000000</v>
      </c>
      <c r="K22" s="179">
        <f t="shared" si="4"/>
        <v>1.004772670183371</v>
      </c>
      <c r="L22" s="180"/>
    </row>
    <row r="23" spans="3:12" ht="18" customHeight="1">
      <c r="C23" s="244"/>
      <c r="D23" s="244"/>
      <c r="E23" s="244"/>
      <c r="F23" s="167" t="s">
        <v>46</v>
      </c>
      <c r="G23" s="167" t="s">
        <v>259</v>
      </c>
      <c r="H23" s="167" t="s">
        <v>67</v>
      </c>
      <c r="I23" s="181">
        <v>595000</v>
      </c>
      <c r="J23" s="181">
        <v>400000</v>
      </c>
      <c r="K23" s="182">
        <f t="shared" si="4"/>
        <v>0.67226890756302526</v>
      </c>
      <c r="L23" s="183"/>
    </row>
    <row r="24" spans="3:12" ht="18" customHeight="1">
      <c r="C24" s="244"/>
      <c r="D24" s="244"/>
      <c r="E24" s="244"/>
      <c r="F24" s="167" t="s">
        <v>23</v>
      </c>
      <c r="G24" s="167" t="s">
        <v>260</v>
      </c>
      <c r="H24" s="167" t="s">
        <v>261</v>
      </c>
      <c r="I24" s="181">
        <v>533250</v>
      </c>
      <c r="J24" s="181">
        <v>500000</v>
      </c>
      <c r="K24" s="182">
        <f t="shared" si="4"/>
        <v>0.93764650726676046</v>
      </c>
      <c r="L24" s="183"/>
    </row>
    <row r="25" spans="3:12" ht="18" customHeight="1">
      <c r="C25" s="244"/>
      <c r="D25" s="244"/>
      <c r="E25" s="244"/>
      <c r="F25" s="163" t="s">
        <v>23</v>
      </c>
      <c r="G25" s="163" t="s">
        <v>262</v>
      </c>
      <c r="H25" s="163" t="s">
        <v>263</v>
      </c>
      <c r="I25" s="178">
        <v>3150000</v>
      </c>
      <c r="J25" s="178">
        <v>4800000</v>
      </c>
      <c r="K25" s="179">
        <f t="shared" si="4"/>
        <v>1.5238095238095237</v>
      </c>
      <c r="L25" s="180"/>
    </row>
    <row r="26" spans="3:12" ht="18" customHeight="1">
      <c r="C26" s="244"/>
      <c r="D26" s="244"/>
      <c r="E26" s="253"/>
      <c r="F26" s="328" t="s">
        <v>22</v>
      </c>
      <c r="G26" s="268"/>
      <c r="H26" s="269"/>
      <c r="I26" s="184">
        <v>32308750</v>
      </c>
      <c r="J26" s="184">
        <f>SUM(J20:J25)</f>
        <v>33800000</v>
      </c>
      <c r="K26" s="185">
        <f t="shared" si="4"/>
        <v>1.0461562270282818</v>
      </c>
      <c r="L26" s="180"/>
    </row>
    <row r="27" spans="3:12" ht="18" customHeight="1">
      <c r="C27" s="244"/>
      <c r="D27" s="244"/>
      <c r="E27" s="262" t="s">
        <v>264</v>
      </c>
      <c r="F27" s="163" t="s">
        <v>23</v>
      </c>
      <c r="G27" s="163" t="s">
        <v>265</v>
      </c>
      <c r="H27" s="163" t="s">
        <v>19</v>
      </c>
      <c r="I27" s="178">
        <v>550000</v>
      </c>
      <c r="J27" s="178" t="s">
        <v>19</v>
      </c>
      <c r="K27" s="186"/>
      <c r="L27" s="333" t="s">
        <v>266</v>
      </c>
    </row>
    <row r="28" spans="3:12" ht="18" customHeight="1">
      <c r="C28" s="244"/>
      <c r="D28" s="244"/>
      <c r="E28" s="253"/>
      <c r="F28" s="328" t="s">
        <v>22</v>
      </c>
      <c r="G28" s="268"/>
      <c r="H28" s="269"/>
      <c r="I28" s="184">
        <v>550000</v>
      </c>
      <c r="J28" s="184" t="s">
        <v>19</v>
      </c>
      <c r="K28" s="187"/>
      <c r="L28" s="253"/>
    </row>
    <row r="29" spans="3:12" ht="18" customHeight="1">
      <c r="C29" s="244"/>
      <c r="D29" s="253"/>
      <c r="E29" s="327" t="s">
        <v>72</v>
      </c>
      <c r="F29" s="268"/>
      <c r="G29" s="268"/>
      <c r="H29" s="269"/>
      <c r="I29" s="188">
        <f>SUM(I26,I28)</f>
        <v>32858750</v>
      </c>
      <c r="J29" s="188">
        <f>SUM(J26)</f>
        <v>33800000</v>
      </c>
      <c r="K29" s="189">
        <f>J29/I29</f>
        <v>1.0286453379997718</v>
      </c>
      <c r="L29" s="180"/>
    </row>
    <row r="30" spans="3:12" ht="18" customHeight="1">
      <c r="C30" s="244"/>
      <c r="D30" s="262" t="s">
        <v>267</v>
      </c>
      <c r="E30" s="262" t="s">
        <v>268</v>
      </c>
      <c r="F30" s="163" t="s">
        <v>19</v>
      </c>
      <c r="G30" s="163" t="s">
        <v>269</v>
      </c>
      <c r="H30" s="163" t="s">
        <v>19</v>
      </c>
      <c r="I30" s="178">
        <v>0</v>
      </c>
      <c r="J30" s="178" t="s">
        <v>19</v>
      </c>
      <c r="K30" s="186"/>
      <c r="L30" s="333" t="s">
        <v>270</v>
      </c>
    </row>
    <row r="31" spans="3:12" ht="18" customHeight="1">
      <c r="C31" s="244"/>
      <c r="D31" s="244"/>
      <c r="E31" s="253"/>
      <c r="F31" s="328" t="s">
        <v>22</v>
      </c>
      <c r="G31" s="268"/>
      <c r="H31" s="269"/>
      <c r="I31" s="184">
        <v>0</v>
      </c>
      <c r="J31" s="184" t="s">
        <v>19</v>
      </c>
      <c r="K31" s="185"/>
      <c r="L31" s="253"/>
    </row>
    <row r="32" spans="3:12" ht="18" customHeight="1">
      <c r="C32" s="244"/>
      <c r="D32" s="244"/>
      <c r="E32" s="262" t="s">
        <v>271</v>
      </c>
      <c r="F32" s="163" t="s">
        <v>23</v>
      </c>
      <c r="G32" s="163" t="s">
        <v>272</v>
      </c>
      <c r="H32" s="163" t="s">
        <v>71</v>
      </c>
      <c r="I32" s="178" t="s">
        <v>19</v>
      </c>
      <c r="J32" s="190">
        <v>1000000</v>
      </c>
      <c r="K32" s="186"/>
      <c r="L32" s="333" t="s">
        <v>273</v>
      </c>
    </row>
    <row r="33" spans="3:12" ht="18" customHeight="1">
      <c r="C33" s="244"/>
      <c r="D33" s="244"/>
      <c r="E33" s="244"/>
      <c r="F33" s="167" t="s">
        <v>46</v>
      </c>
      <c r="G33" s="167" t="s">
        <v>274</v>
      </c>
      <c r="H33" s="167" t="s">
        <v>275</v>
      </c>
      <c r="I33" s="181" t="s">
        <v>19</v>
      </c>
      <c r="J33" s="191">
        <v>300000</v>
      </c>
      <c r="K33" s="192"/>
      <c r="L33" s="244"/>
    </row>
    <row r="34" spans="3:12" ht="18" customHeight="1">
      <c r="C34" s="244"/>
      <c r="D34" s="244"/>
      <c r="E34" s="253"/>
      <c r="F34" s="328" t="s">
        <v>22</v>
      </c>
      <c r="G34" s="268"/>
      <c r="H34" s="269"/>
      <c r="I34" s="184" t="s">
        <v>19</v>
      </c>
      <c r="J34" s="184">
        <f>SUM(J32:J33)</f>
        <v>1300000</v>
      </c>
      <c r="K34" s="185"/>
      <c r="L34" s="253"/>
    </row>
    <row r="35" spans="3:12" ht="18" customHeight="1">
      <c r="C35" s="244"/>
      <c r="D35" s="244"/>
      <c r="E35" s="262" t="s">
        <v>276</v>
      </c>
      <c r="F35" s="163" t="s">
        <v>23</v>
      </c>
      <c r="G35" s="163" t="s">
        <v>277</v>
      </c>
      <c r="H35" s="163" t="s">
        <v>75</v>
      </c>
      <c r="I35" s="178">
        <v>5000000</v>
      </c>
      <c r="J35" s="178">
        <v>5000000</v>
      </c>
      <c r="K35" s="186">
        <f t="shared" ref="K35:K41" si="5">J35/I35</f>
        <v>1</v>
      </c>
      <c r="L35" s="180"/>
    </row>
    <row r="36" spans="3:12" ht="18" customHeight="1">
      <c r="C36" s="244"/>
      <c r="D36" s="244"/>
      <c r="E36" s="244"/>
      <c r="F36" s="163" t="s">
        <v>23</v>
      </c>
      <c r="G36" s="163" t="s">
        <v>278</v>
      </c>
      <c r="H36" s="163" t="s">
        <v>78</v>
      </c>
      <c r="I36" s="178">
        <v>1959080</v>
      </c>
      <c r="J36" s="178">
        <v>2000000</v>
      </c>
      <c r="K36" s="186">
        <f t="shared" si="5"/>
        <v>1.0208873552892175</v>
      </c>
      <c r="L36" s="180"/>
    </row>
    <row r="37" spans="3:12" ht="18" customHeight="1">
      <c r="C37" s="244"/>
      <c r="D37" s="244"/>
      <c r="E37" s="244"/>
      <c r="F37" s="167" t="s">
        <v>11</v>
      </c>
      <c r="G37" s="167" t="s">
        <v>279</v>
      </c>
      <c r="H37" s="163" t="s">
        <v>80</v>
      </c>
      <c r="I37" s="181">
        <v>399300</v>
      </c>
      <c r="J37" s="181">
        <v>0</v>
      </c>
      <c r="K37" s="192">
        <f t="shared" si="5"/>
        <v>0</v>
      </c>
      <c r="L37" s="183"/>
    </row>
    <row r="38" spans="3:12" ht="18" customHeight="1">
      <c r="C38" s="244"/>
      <c r="D38" s="244"/>
      <c r="E38" s="244"/>
      <c r="F38" s="163" t="s">
        <v>46</v>
      </c>
      <c r="G38" s="163" t="s">
        <v>279</v>
      </c>
      <c r="H38" s="163" t="s">
        <v>82</v>
      </c>
      <c r="I38" s="178">
        <v>1707210</v>
      </c>
      <c r="J38" s="178">
        <v>2000000</v>
      </c>
      <c r="K38" s="186">
        <f t="shared" si="5"/>
        <v>1.171502041342307</v>
      </c>
      <c r="L38" s="180"/>
    </row>
    <row r="39" spans="3:12" ht="18" customHeight="1">
      <c r="C39" s="244"/>
      <c r="D39" s="244"/>
      <c r="E39" s="253"/>
      <c r="F39" s="328" t="s">
        <v>22</v>
      </c>
      <c r="G39" s="268"/>
      <c r="H39" s="269"/>
      <c r="I39" s="184">
        <v>9065590</v>
      </c>
      <c r="J39" s="184">
        <f>SUM(J35:J38)</f>
        <v>9000000</v>
      </c>
      <c r="K39" s="185">
        <f t="shared" si="5"/>
        <v>0.99276494966130169</v>
      </c>
      <c r="L39" s="180"/>
    </row>
    <row r="40" spans="3:12" ht="18" customHeight="1">
      <c r="C40" s="244"/>
      <c r="D40" s="253"/>
      <c r="E40" s="327" t="s">
        <v>72</v>
      </c>
      <c r="F40" s="268"/>
      <c r="G40" s="268"/>
      <c r="H40" s="269"/>
      <c r="I40" s="188">
        <v>9065590</v>
      </c>
      <c r="J40" s="188">
        <f>SUM(J39,J34)</f>
        <v>10300000</v>
      </c>
      <c r="K40" s="189">
        <f t="shared" si="5"/>
        <v>1.1361643312790453</v>
      </c>
      <c r="L40" s="180"/>
    </row>
    <row r="41" spans="3:12" ht="18" customHeight="1">
      <c r="C41" s="244"/>
      <c r="D41" s="329" t="s">
        <v>280</v>
      </c>
      <c r="E41" s="329" t="s">
        <v>281</v>
      </c>
      <c r="F41" s="167" t="s">
        <v>11</v>
      </c>
      <c r="G41" s="167" t="s">
        <v>282</v>
      </c>
      <c r="H41" s="167" t="s">
        <v>86</v>
      </c>
      <c r="I41" s="181">
        <v>2393500</v>
      </c>
      <c r="J41" s="181">
        <v>1000000</v>
      </c>
      <c r="K41" s="193">
        <f t="shared" si="5"/>
        <v>0.41779820346772512</v>
      </c>
      <c r="L41" s="183"/>
    </row>
    <row r="42" spans="3:12" ht="18" customHeight="1">
      <c r="C42" s="244"/>
      <c r="D42" s="244"/>
      <c r="E42" s="244"/>
      <c r="F42" s="163" t="s">
        <v>11</v>
      </c>
      <c r="G42" s="163" t="s">
        <v>283</v>
      </c>
      <c r="H42" s="163" t="s">
        <v>89</v>
      </c>
      <c r="I42" s="178">
        <v>0</v>
      </c>
      <c r="J42" s="178">
        <v>1000000</v>
      </c>
      <c r="K42" s="186"/>
      <c r="L42" s="194" t="s">
        <v>284</v>
      </c>
    </row>
    <row r="43" spans="3:12" ht="18" customHeight="1">
      <c r="C43" s="244"/>
      <c r="D43" s="244"/>
      <c r="E43" s="244"/>
      <c r="F43" s="167" t="s">
        <v>11</v>
      </c>
      <c r="G43" s="167" t="s">
        <v>285</v>
      </c>
      <c r="H43" s="167" t="s">
        <v>19</v>
      </c>
      <c r="I43" s="181">
        <v>322200</v>
      </c>
      <c r="J43" s="181" t="s">
        <v>19</v>
      </c>
      <c r="K43" s="193"/>
      <c r="L43" s="180"/>
    </row>
    <row r="44" spans="3:12" ht="18" customHeight="1">
      <c r="C44" s="244"/>
      <c r="D44" s="244"/>
      <c r="E44" s="253"/>
      <c r="F44" s="328" t="s">
        <v>22</v>
      </c>
      <c r="G44" s="268"/>
      <c r="H44" s="269"/>
      <c r="I44" s="184">
        <v>2715700</v>
      </c>
      <c r="J44" s="184">
        <f>SUM(J41:J43)</f>
        <v>2000000</v>
      </c>
      <c r="K44" s="185">
        <f t="shared" ref="K44:K46" si="6">J44/I44</f>
        <v>0.73645837169054018</v>
      </c>
      <c r="L44" s="180"/>
    </row>
    <row r="45" spans="3:12" ht="18" customHeight="1">
      <c r="C45" s="244"/>
      <c r="D45" s="244"/>
      <c r="E45" s="329" t="s">
        <v>286</v>
      </c>
      <c r="F45" s="167" t="s">
        <v>11</v>
      </c>
      <c r="G45" s="167" t="s">
        <v>282</v>
      </c>
      <c r="H45" s="167" t="s">
        <v>92</v>
      </c>
      <c r="I45" s="181">
        <v>1782500</v>
      </c>
      <c r="J45" s="181">
        <v>900000</v>
      </c>
      <c r="K45" s="193">
        <f t="shared" si="6"/>
        <v>0.50490883590462832</v>
      </c>
      <c r="L45" s="183"/>
    </row>
    <row r="46" spans="3:12" ht="18" customHeight="1">
      <c r="C46" s="244"/>
      <c r="D46" s="244"/>
      <c r="E46" s="244"/>
      <c r="F46" s="163" t="s">
        <v>11</v>
      </c>
      <c r="G46" s="163" t="s">
        <v>283</v>
      </c>
      <c r="H46" s="167" t="s">
        <v>152</v>
      </c>
      <c r="I46" s="178">
        <v>1000000</v>
      </c>
      <c r="J46" s="178">
        <v>1000000</v>
      </c>
      <c r="K46" s="186">
        <f t="shared" si="6"/>
        <v>1</v>
      </c>
      <c r="L46" s="180"/>
    </row>
    <row r="47" spans="3:12" ht="18" customHeight="1">
      <c r="C47" s="244"/>
      <c r="D47" s="244"/>
      <c r="E47" s="244"/>
      <c r="F47" s="167" t="s">
        <v>11</v>
      </c>
      <c r="G47" s="167" t="s">
        <v>285</v>
      </c>
      <c r="H47" s="167"/>
      <c r="I47" s="181">
        <v>0</v>
      </c>
      <c r="J47" s="181" t="s">
        <v>19</v>
      </c>
      <c r="K47" s="193"/>
      <c r="L47" s="194" t="s">
        <v>284</v>
      </c>
    </row>
    <row r="48" spans="3:12" ht="18" customHeight="1">
      <c r="C48" s="244"/>
      <c r="D48" s="244"/>
      <c r="E48" s="253"/>
      <c r="F48" s="328" t="s">
        <v>22</v>
      </c>
      <c r="G48" s="268"/>
      <c r="H48" s="269"/>
      <c r="I48" s="184">
        <v>2782500</v>
      </c>
      <c r="J48" s="184">
        <f>SUM(J45:J47)</f>
        <v>1900000</v>
      </c>
      <c r="K48" s="185">
        <f t="shared" ref="K48:K50" si="7">J48/I48</f>
        <v>0.68283917340521116</v>
      </c>
      <c r="L48" s="180"/>
    </row>
    <row r="49" spans="3:12" ht="18" customHeight="1">
      <c r="C49" s="244"/>
      <c r="D49" s="244"/>
      <c r="E49" s="329" t="s">
        <v>287</v>
      </c>
      <c r="F49" s="167" t="s">
        <v>11</v>
      </c>
      <c r="G49" s="167" t="s">
        <v>282</v>
      </c>
      <c r="H49" s="167" t="s">
        <v>93</v>
      </c>
      <c r="I49" s="181">
        <v>1000000</v>
      </c>
      <c r="J49" s="181">
        <v>700000</v>
      </c>
      <c r="K49" s="192">
        <f t="shared" si="7"/>
        <v>0.7</v>
      </c>
      <c r="L49" s="183"/>
    </row>
    <row r="50" spans="3:12" ht="18" customHeight="1">
      <c r="C50" s="244"/>
      <c r="D50" s="244"/>
      <c r="E50" s="244"/>
      <c r="F50" s="163" t="s">
        <v>11</v>
      </c>
      <c r="G50" s="163" t="s">
        <v>283</v>
      </c>
      <c r="H50" s="167" t="s">
        <v>158</v>
      </c>
      <c r="I50" s="178">
        <v>1900000</v>
      </c>
      <c r="J50" s="178">
        <v>1000000</v>
      </c>
      <c r="K50" s="186">
        <f t="shared" si="7"/>
        <v>0.52631578947368418</v>
      </c>
      <c r="L50" s="180"/>
    </row>
    <row r="51" spans="3:12" ht="18" customHeight="1">
      <c r="C51" s="244"/>
      <c r="D51" s="244"/>
      <c r="E51" s="244"/>
      <c r="F51" s="167" t="s">
        <v>11</v>
      </c>
      <c r="G51" s="167" t="s">
        <v>285</v>
      </c>
      <c r="H51" s="167"/>
      <c r="I51" s="181">
        <v>0</v>
      </c>
      <c r="J51" s="181" t="s">
        <v>19</v>
      </c>
      <c r="K51" s="192"/>
      <c r="L51" s="194" t="s">
        <v>284</v>
      </c>
    </row>
    <row r="52" spans="3:12" ht="18" customHeight="1">
      <c r="C52" s="244"/>
      <c r="D52" s="244"/>
      <c r="E52" s="253"/>
      <c r="F52" s="328" t="s">
        <v>22</v>
      </c>
      <c r="G52" s="268"/>
      <c r="H52" s="269"/>
      <c r="I52" s="184">
        <v>2900000</v>
      </c>
      <c r="J52" s="184">
        <f>SUM(J49:J51)</f>
        <v>1700000</v>
      </c>
      <c r="K52" s="185">
        <f>J52/I52</f>
        <v>0.58620689655172409</v>
      </c>
      <c r="L52" s="180"/>
    </row>
    <row r="53" spans="3:12" ht="18" customHeight="1">
      <c r="C53" s="244"/>
      <c r="D53" s="244"/>
      <c r="E53" s="329" t="s">
        <v>288</v>
      </c>
      <c r="F53" s="167" t="s">
        <v>19</v>
      </c>
      <c r="G53" s="167" t="s">
        <v>289</v>
      </c>
      <c r="H53" s="167"/>
      <c r="I53" s="181">
        <v>0</v>
      </c>
      <c r="J53" s="181" t="s">
        <v>19</v>
      </c>
      <c r="K53" s="192"/>
      <c r="L53" s="334"/>
    </row>
    <row r="54" spans="3:12" ht="18" customHeight="1">
      <c r="C54" s="244"/>
      <c r="D54" s="244"/>
      <c r="E54" s="244"/>
      <c r="F54" s="167" t="s">
        <v>23</v>
      </c>
      <c r="G54" s="167" t="s">
        <v>289</v>
      </c>
      <c r="H54" s="167" t="s">
        <v>160</v>
      </c>
      <c r="I54" s="181">
        <v>0</v>
      </c>
      <c r="J54" s="181">
        <v>150000</v>
      </c>
      <c r="K54" s="192"/>
      <c r="L54" s="244"/>
    </row>
    <row r="55" spans="3:12" ht="18" customHeight="1">
      <c r="C55" s="244"/>
      <c r="D55" s="244"/>
      <c r="E55" s="244"/>
      <c r="F55" s="167" t="s">
        <v>19</v>
      </c>
      <c r="G55" s="167" t="s">
        <v>289</v>
      </c>
      <c r="H55" s="167"/>
      <c r="I55" s="181">
        <v>187000</v>
      </c>
      <c r="J55" s="181" t="s">
        <v>19</v>
      </c>
      <c r="K55" s="192"/>
      <c r="L55" s="244"/>
    </row>
    <row r="56" spans="3:12" ht="18" customHeight="1">
      <c r="C56" s="244"/>
      <c r="D56" s="244"/>
      <c r="E56" s="253"/>
      <c r="F56" s="328" t="s">
        <v>22</v>
      </c>
      <c r="G56" s="268"/>
      <c r="H56" s="269"/>
      <c r="I56" s="181">
        <v>187000</v>
      </c>
      <c r="J56" s="181">
        <f>SUM(J53:J55)</f>
        <v>150000</v>
      </c>
      <c r="K56" s="192">
        <f t="shared" ref="K56:K57" si="8">J56/I56</f>
        <v>0.80213903743315507</v>
      </c>
      <c r="L56" s="253"/>
    </row>
    <row r="57" spans="3:12" ht="18" customHeight="1">
      <c r="C57" s="244"/>
      <c r="D57" s="244"/>
      <c r="E57" s="262" t="s">
        <v>290</v>
      </c>
      <c r="F57" s="163" t="s">
        <v>23</v>
      </c>
      <c r="G57" s="163" t="s">
        <v>291</v>
      </c>
      <c r="H57" s="163" t="s">
        <v>163</v>
      </c>
      <c r="I57" s="178">
        <v>43360</v>
      </c>
      <c r="J57" s="178">
        <v>100000</v>
      </c>
      <c r="K57" s="186">
        <f t="shared" si="8"/>
        <v>2.3062730627306274</v>
      </c>
      <c r="L57" s="180"/>
    </row>
    <row r="58" spans="3:12" ht="18" customHeight="1">
      <c r="C58" s="244"/>
      <c r="D58" s="244"/>
      <c r="E58" s="244"/>
      <c r="F58" s="163" t="s">
        <v>19</v>
      </c>
      <c r="G58" s="163" t="s">
        <v>292</v>
      </c>
      <c r="H58" s="163"/>
      <c r="I58" s="178">
        <v>0</v>
      </c>
      <c r="J58" s="178" t="s">
        <v>19</v>
      </c>
      <c r="K58" s="186"/>
      <c r="L58" s="180"/>
    </row>
    <row r="59" spans="3:12" ht="18" customHeight="1">
      <c r="C59" s="244"/>
      <c r="D59" s="244"/>
      <c r="E59" s="244"/>
      <c r="F59" s="167" t="s">
        <v>23</v>
      </c>
      <c r="G59" s="167" t="s">
        <v>293</v>
      </c>
      <c r="H59" s="163" t="s">
        <v>294</v>
      </c>
      <c r="I59" s="181">
        <v>96000</v>
      </c>
      <c r="J59" s="181">
        <v>200000</v>
      </c>
      <c r="K59" s="192">
        <f>J59/I59</f>
        <v>2.0833333333333335</v>
      </c>
      <c r="L59" s="183"/>
    </row>
    <row r="60" spans="3:12" ht="18" customHeight="1">
      <c r="C60" s="244"/>
      <c r="D60" s="244"/>
      <c r="E60" s="244"/>
      <c r="F60" s="163" t="s">
        <v>19</v>
      </c>
      <c r="G60" s="163" t="s">
        <v>291</v>
      </c>
      <c r="H60" s="163"/>
      <c r="I60" s="178">
        <v>3900</v>
      </c>
      <c r="J60" s="178" t="s">
        <v>19</v>
      </c>
      <c r="K60" s="186"/>
      <c r="L60" s="180"/>
    </row>
    <row r="61" spans="3:12" ht="18" customHeight="1">
      <c r="C61" s="244"/>
      <c r="D61" s="244"/>
      <c r="E61" s="244"/>
      <c r="F61" s="163" t="s">
        <v>19</v>
      </c>
      <c r="G61" s="163" t="s">
        <v>293</v>
      </c>
      <c r="H61" s="163"/>
      <c r="I61" s="178">
        <v>45000</v>
      </c>
      <c r="J61" s="178" t="s">
        <v>19</v>
      </c>
      <c r="K61" s="186"/>
      <c r="L61" s="180"/>
    </row>
    <row r="62" spans="3:12" ht="18" customHeight="1">
      <c r="C62" s="244"/>
      <c r="D62" s="244"/>
      <c r="E62" s="244"/>
      <c r="F62" s="167" t="s">
        <v>19</v>
      </c>
      <c r="G62" s="167" t="s">
        <v>295</v>
      </c>
      <c r="H62" s="167"/>
      <c r="I62" s="181" t="s">
        <v>19</v>
      </c>
      <c r="J62" s="181" t="s">
        <v>19</v>
      </c>
      <c r="K62" s="192"/>
      <c r="L62" s="194" t="s">
        <v>296</v>
      </c>
    </row>
    <row r="63" spans="3:12" ht="18" customHeight="1">
      <c r="C63" s="244"/>
      <c r="D63" s="244"/>
      <c r="E63" s="244"/>
      <c r="F63" s="167" t="s">
        <v>23</v>
      </c>
      <c r="G63" s="167" t="s">
        <v>297</v>
      </c>
      <c r="H63" s="163" t="s">
        <v>298</v>
      </c>
      <c r="I63" s="181" t="s">
        <v>19</v>
      </c>
      <c r="J63" s="181">
        <v>150000</v>
      </c>
      <c r="K63" s="192"/>
      <c r="L63" s="183"/>
    </row>
    <row r="64" spans="3:12" ht="18" customHeight="1">
      <c r="C64" s="244"/>
      <c r="D64" s="244"/>
      <c r="E64" s="244"/>
      <c r="F64" s="167" t="s">
        <v>19</v>
      </c>
      <c r="G64" s="167" t="s">
        <v>299</v>
      </c>
      <c r="H64" s="167"/>
      <c r="I64" s="181" t="s">
        <v>19</v>
      </c>
      <c r="J64" s="181" t="s">
        <v>19</v>
      </c>
      <c r="K64" s="192"/>
      <c r="L64" s="194" t="s">
        <v>300</v>
      </c>
    </row>
    <row r="65" spans="3:12" ht="18" customHeight="1">
      <c r="C65" s="244"/>
      <c r="D65" s="244"/>
      <c r="E65" s="244"/>
      <c r="F65" s="167" t="s">
        <v>46</v>
      </c>
      <c r="G65" s="167" t="s">
        <v>301</v>
      </c>
      <c r="H65" s="163" t="s">
        <v>302</v>
      </c>
      <c r="I65" s="181" t="s">
        <v>19</v>
      </c>
      <c r="J65" s="181">
        <v>100000</v>
      </c>
      <c r="K65" s="192"/>
      <c r="L65" s="183"/>
    </row>
    <row r="66" spans="3:12" ht="18" customHeight="1">
      <c r="C66" s="244"/>
      <c r="D66" s="244"/>
      <c r="E66" s="253"/>
      <c r="F66" s="328" t="s">
        <v>22</v>
      </c>
      <c r="G66" s="268"/>
      <c r="H66" s="269"/>
      <c r="I66" s="184">
        <v>188260</v>
      </c>
      <c r="J66" s="184">
        <f>SUM(J57,J59,J62:J65)</f>
        <v>550000</v>
      </c>
      <c r="K66" s="185">
        <f>J66/I66</f>
        <v>2.9214915542335067</v>
      </c>
      <c r="L66" s="194" t="s">
        <v>303</v>
      </c>
    </row>
    <row r="67" spans="3:12" ht="18" customHeight="1">
      <c r="C67" s="244"/>
      <c r="D67" s="253"/>
      <c r="E67" s="327" t="s">
        <v>72</v>
      </c>
      <c r="F67" s="268"/>
      <c r="G67" s="268"/>
      <c r="H67" s="269"/>
      <c r="I67" s="188">
        <v>8773460</v>
      </c>
      <c r="J67" s="188">
        <f>SUM(J66,J56,J52,J48,J44)</f>
        <v>6300000</v>
      </c>
      <c r="K67" s="189"/>
      <c r="L67" s="180"/>
    </row>
    <row r="68" spans="3:12" ht="18" customHeight="1">
      <c r="C68" s="244"/>
      <c r="D68" s="329" t="s">
        <v>304</v>
      </c>
      <c r="E68" s="329" t="s">
        <v>305</v>
      </c>
      <c r="F68" s="167" t="s">
        <v>23</v>
      </c>
      <c r="G68" s="167" t="s">
        <v>306</v>
      </c>
      <c r="H68" s="167" t="s">
        <v>164</v>
      </c>
      <c r="I68" s="181">
        <v>0</v>
      </c>
      <c r="J68" s="181">
        <v>200000</v>
      </c>
      <c r="K68" s="193"/>
      <c r="L68" s="183"/>
    </row>
    <row r="69" spans="3:12" ht="18" customHeight="1">
      <c r="C69" s="244"/>
      <c r="D69" s="244"/>
      <c r="E69" s="244"/>
      <c r="F69" s="163" t="s">
        <v>23</v>
      </c>
      <c r="G69" s="163" t="s">
        <v>307</v>
      </c>
      <c r="H69" s="167" t="s">
        <v>308</v>
      </c>
      <c r="I69" s="178">
        <v>0</v>
      </c>
      <c r="J69" s="178">
        <v>50000</v>
      </c>
      <c r="K69" s="186"/>
      <c r="L69" s="180"/>
    </row>
    <row r="70" spans="3:12" ht="18" customHeight="1">
      <c r="C70" s="244"/>
      <c r="D70" s="244"/>
      <c r="E70" s="244"/>
      <c r="F70" s="163" t="s">
        <v>11</v>
      </c>
      <c r="G70" s="163" t="s">
        <v>309</v>
      </c>
      <c r="H70" s="167" t="s">
        <v>310</v>
      </c>
      <c r="I70" s="178">
        <v>500500</v>
      </c>
      <c r="J70" s="178">
        <v>750000</v>
      </c>
      <c r="K70" s="186">
        <f t="shared" ref="K70:K71" si="9">J70/I70</f>
        <v>1.4985014985014986</v>
      </c>
      <c r="L70" s="194" t="s">
        <v>311</v>
      </c>
    </row>
    <row r="71" spans="3:12" ht="18" customHeight="1">
      <c r="C71" s="244"/>
      <c r="D71" s="244"/>
      <c r="E71" s="253"/>
      <c r="F71" s="328" t="s">
        <v>22</v>
      </c>
      <c r="G71" s="268"/>
      <c r="H71" s="269"/>
      <c r="I71" s="184">
        <v>500500</v>
      </c>
      <c r="J71" s="184">
        <f>SUM(J68:J70)</f>
        <v>1000000</v>
      </c>
      <c r="K71" s="185">
        <f t="shared" si="9"/>
        <v>1.9980019980019981</v>
      </c>
      <c r="L71" s="180"/>
    </row>
    <row r="72" spans="3:12" ht="18" customHeight="1">
      <c r="C72" s="244"/>
      <c r="D72" s="244"/>
      <c r="E72" s="262" t="s">
        <v>312</v>
      </c>
      <c r="F72" s="163" t="s">
        <v>11</v>
      </c>
      <c r="G72" s="163" t="s">
        <v>313</v>
      </c>
      <c r="H72" s="163" t="s">
        <v>168</v>
      </c>
      <c r="I72" s="178">
        <v>0</v>
      </c>
      <c r="J72" s="178">
        <v>700000</v>
      </c>
      <c r="K72" s="186"/>
      <c r="L72" s="194" t="s">
        <v>314</v>
      </c>
    </row>
    <row r="73" spans="3:12" ht="18" customHeight="1">
      <c r="C73" s="244"/>
      <c r="D73" s="244"/>
      <c r="E73" s="244"/>
      <c r="F73" s="167" t="s">
        <v>23</v>
      </c>
      <c r="G73" s="167" t="s">
        <v>315</v>
      </c>
      <c r="H73" s="163" t="s">
        <v>170</v>
      </c>
      <c r="I73" s="181">
        <v>0</v>
      </c>
      <c r="J73" s="181">
        <v>100000</v>
      </c>
      <c r="K73" s="192"/>
      <c r="L73" s="183"/>
    </row>
    <row r="74" spans="3:12" ht="18" customHeight="1">
      <c r="C74" s="244"/>
      <c r="D74" s="244"/>
      <c r="E74" s="253"/>
      <c r="F74" s="328" t="s">
        <v>22</v>
      </c>
      <c r="G74" s="268"/>
      <c r="H74" s="269"/>
      <c r="I74" s="184">
        <v>0</v>
      </c>
      <c r="J74" s="184">
        <f>SUM(J72:J73)</f>
        <v>800000</v>
      </c>
      <c r="K74" s="185"/>
      <c r="L74" s="180"/>
    </row>
    <row r="75" spans="3:12" ht="18" customHeight="1">
      <c r="C75" s="244"/>
      <c r="D75" s="244"/>
      <c r="E75" s="262" t="s">
        <v>316</v>
      </c>
      <c r="F75" s="163" t="s">
        <v>23</v>
      </c>
      <c r="G75" s="163" t="s">
        <v>317</v>
      </c>
      <c r="H75" s="163" t="s">
        <v>175</v>
      </c>
      <c r="I75" s="178">
        <v>24600</v>
      </c>
      <c r="J75" s="178">
        <v>50000</v>
      </c>
      <c r="K75" s="186">
        <f t="shared" ref="K75:K79" si="10">J75/I75</f>
        <v>2.0325203252032522</v>
      </c>
      <c r="L75" s="180"/>
    </row>
    <row r="76" spans="3:12" ht="18" customHeight="1">
      <c r="C76" s="244"/>
      <c r="D76" s="244"/>
      <c r="E76" s="244"/>
      <c r="F76" s="167" t="s">
        <v>23</v>
      </c>
      <c r="G76" s="167" t="s">
        <v>318</v>
      </c>
      <c r="H76" s="163" t="s">
        <v>178</v>
      </c>
      <c r="I76" s="181">
        <v>158400</v>
      </c>
      <c r="J76" s="181">
        <v>100000</v>
      </c>
      <c r="K76" s="192">
        <f t="shared" si="10"/>
        <v>0.63131313131313127</v>
      </c>
      <c r="L76" s="183"/>
    </row>
    <row r="77" spans="3:12" ht="18" customHeight="1">
      <c r="C77" s="244"/>
      <c r="D77" s="244"/>
      <c r="E77" s="253"/>
      <c r="F77" s="328" t="s">
        <v>22</v>
      </c>
      <c r="G77" s="268"/>
      <c r="H77" s="269"/>
      <c r="I77" s="184">
        <v>183000</v>
      </c>
      <c r="J77" s="184">
        <f>SUM(J75:J76)</f>
        <v>150000</v>
      </c>
      <c r="K77" s="185">
        <f t="shared" si="10"/>
        <v>0.81967213114754101</v>
      </c>
      <c r="L77" s="180"/>
    </row>
    <row r="78" spans="3:12" ht="18" customHeight="1">
      <c r="C78" s="244"/>
      <c r="D78" s="253"/>
      <c r="E78" s="327" t="s">
        <v>72</v>
      </c>
      <c r="F78" s="268"/>
      <c r="G78" s="268"/>
      <c r="H78" s="269"/>
      <c r="I78" s="188">
        <v>683500</v>
      </c>
      <c r="J78" s="188">
        <f>SUM(J71,J74,J77)</f>
        <v>1950000</v>
      </c>
      <c r="K78" s="189">
        <f t="shared" si="10"/>
        <v>2.8529626920263351</v>
      </c>
      <c r="L78" s="180"/>
    </row>
    <row r="79" spans="3:12" ht="18" customHeight="1">
      <c r="C79" s="244"/>
      <c r="D79" s="262" t="s">
        <v>319</v>
      </c>
      <c r="E79" s="262" t="s">
        <v>320</v>
      </c>
      <c r="F79" s="163" t="s">
        <v>23</v>
      </c>
      <c r="G79" s="163" t="s">
        <v>321</v>
      </c>
      <c r="H79" s="163" t="s">
        <v>181</v>
      </c>
      <c r="I79" s="178">
        <v>663600</v>
      </c>
      <c r="J79" s="178">
        <v>1200000</v>
      </c>
      <c r="K79" s="186">
        <f t="shared" si="10"/>
        <v>1.8083182640144666</v>
      </c>
      <c r="L79" s="180"/>
    </row>
    <row r="80" spans="3:12" ht="18" customHeight="1">
      <c r="C80" s="244"/>
      <c r="D80" s="244"/>
      <c r="E80" s="244"/>
      <c r="F80" s="163" t="s">
        <v>19</v>
      </c>
      <c r="G80" s="163" t="s">
        <v>321</v>
      </c>
      <c r="H80" s="163" t="s">
        <v>19</v>
      </c>
      <c r="I80" s="178">
        <v>550500</v>
      </c>
      <c r="J80" s="178" t="s">
        <v>19</v>
      </c>
      <c r="K80" s="186"/>
      <c r="L80" s="180"/>
    </row>
    <row r="81" spans="3:12" ht="18" customHeight="1">
      <c r="C81" s="244"/>
      <c r="D81" s="244"/>
      <c r="E81" s="253"/>
      <c r="F81" s="328" t="s">
        <v>22</v>
      </c>
      <c r="G81" s="268"/>
      <c r="H81" s="269"/>
      <c r="I81" s="184">
        <v>1214100</v>
      </c>
      <c r="J81" s="184">
        <f>J79</f>
        <v>1200000</v>
      </c>
      <c r="K81" s="185">
        <f>J81/I81</f>
        <v>0.98838645910551026</v>
      </c>
      <c r="L81" s="180"/>
    </row>
    <row r="82" spans="3:12" ht="18" customHeight="1">
      <c r="C82" s="244"/>
      <c r="D82" s="244"/>
      <c r="E82" s="262" t="s">
        <v>173</v>
      </c>
      <c r="F82" s="163" t="s">
        <v>23</v>
      </c>
      <c r="G82" s="163" t="s">
        <v>322</v>
      </c>
      <c r="H82" s="163" t="s">
        <v>187</v>
      </c>
      <c r="I82" s="178" t="s">
        <v>19</v>
      </c>
      <c r="J82" s="178">
        <v>500000</v>
      </c>
      <c r="K82" s="186"/>
      <c r="L82" s="180"/>
    </row>
    <row r="83" spans="3:12" ht="18" customHeight="1">
      <c r="C83" s="244"/>
      <c r="D83" s="244"/>
      <c r="E83" s="244"/>
      <c r="F83" s="163" t="s">
        <v>11</v>
      </c>
      <c r="G83" s="163" t="s">
        <v>323</v>
      </c>
      <c r="H83" s="163" t="s">
        <v>324</v>
      </c>
      <c r="I83" s="178" t="s">
        <v>19</v>
      </c>
      <c r="J83" s="178">
        <v>1000000</v>
      </c>
      <c r="K83" s="186"/>
      <c r="L83" s="180"/>
    </row>
    <row r="84" spans="3:12" ht="18" customHeight="1">
      <c r="C84" s="244"/>
      <c r="D84" s="244"/>
      <c r="E84" s="253"/>
      <c r="F84" s="328" t="s">
        <v>22</v>
      </c>
      <c r="G84" s="268"/>
      <c r="H84" s="269"/>
      <c r="I84" s="184" t="s">
        <v>19</v>
      </c>
      <c r="J84" s="184">
        <f>SUM(J82:J83)</f>
        <v>1500000</v>
      </c>
      <c r="K84" s="185"/>
      <c r="L84" s="180"/>
    </row>
    <row r="85" spans="3:12" ht="18" customHeight="1">
      <c r="C85" s="244"/>
      <c r="D85" s="244"/>
      <c r="E85" s="262" t="s">
        <v>268</v>
      </c>
      <c r="F85" s="163" t="s">
        <v>19</v>
      </c>
      <c r="G85" s="163" t="s">
        <v>325</v>
      </c>
      <c r="H85" s="163" t="s">
        <v>19</v>
      </c>
      <c r="I85" s="178">
        <v>695820</v>
      </c>
      <c r="J85" s="178" t="s">
        <v>19</v>
      </c>
      <c r="K85" s="186"/>
      <c r="L85" s="180"/>
    </row>
    <row r="86" spans="3:12" ht="18" customHeight="1">
      <c r="C86" s="244"/>
      <c r="D86" s="244"/>
      <c r="E86" s="244"/>
      <c r="F86" s="163" t="s">
        <v>19</v>
      </c>
      <c r="G86" s="163" t="s">
        <v>326</v>
      </c>
      <c r="H86" s="163" t="s">
        <v>19</v>
      </c>
      <c r="I86" s="178">
        <v>961300</v>
      </c>
      <c r="J86" s="178" t="s">
        <v>19</v>
      </c>
      <c r="K86" s="186"/>
      <c r="L86" s="180"/>
    </row>
    <row r="87" spans="3:12" ht="18" customHeight="1">
      <c r="C87" s="244"/>
      <c r="D87" s="244"/>
      <c r="E87" s="244"/>
      <c r="F87" s="167" t="s">
        <v>46</v>
      </c>
      <c r="G87" s="167" t="s">
        <v>327</v>
      </c>
      <c r="H87" s="167" t="s">
        <v>191</v>
      </c>
      <c r="I87" s="181" t="s">
        <v>19</v>
      </c>
      <c r="J87" s="181">
        <v>390000</v>
      </c>
      <c r="K87" s="192"/>
      <c r="L87" s="183"/>
    </row>
    <row r="88" spans="3:12" ht="18" customHeight="1">
      <c r="C88" s="244"/>
      <c r="D88" s="244"/>
      <c r="E88" s="253"/>
      <c r="F88" s="328" t="s">
        <v>22</v>
      </c>
      <c r="G88" s="268"/>
      <c r="H88" s="269"/>
      <c r="I88" s="184">
        <v>1657120</v>
      </c>
      <c r="J88" s="184">
        <f>J87</f>
        <v>390000</v>
      </c>
      <c r="K88" s="185">
        <f>J88/I88</f>
        <v>0.23534807376653472</v>
      </c>
      <c r="L88" s="180"/>
    </row>
    <row r="89" spans="3:12" ht="18" customHeight="1">
      <c r="C89" s="244"/>
      <c r="D89" s="244"/>
      <c r="E89" s="329" t="s">
        <v>265</v>
      </c>
      <c r="F89" s="163" t="s">
        <v>11</v>
      </c>
      <c r="G89" s="163" t="s">
        <v>265</v>
      </c>
      <c r="H89" s="163" t="s">
        <v>194</v>
      </c>
      <c r="I89" s="178" t="s">
        <v>19</v>
      </c>
      <c r="J89" s="178">
        <v>700000</v>
      </c>
      <c r="K89" s="186"/>
      <c r="L89" s="333" t="s">
        <v>328</v>
      </c>
    </row>
    <row r="90" spans="3:12" ht="18" customHeight="1">
      <c r="C90" s="244"/>
      <c r="D90" s="244"/>
      <c r="E90" s="253"/>
      <c r="F90" s="328" t="s">
        <v>22</v>
      </c>
      <c r="G90" s="268"/>
      <c r="H90" s="269"/>
      <c r="I90" s="184" t="s">
        <v>19</v>
      </c>
      <c r="J90" s="184">
        <v>700000</v>
      </c>
      <c r="K90" s="185"/>
      <c r="L90" s="253"/>
    </row>
    <row r="91" spans="3:12" ht="18" customHeight="1">
      <c r="C91" s="244"/>
      <c r="D91" s="244"/>
      <c r="E91" s="329" t="s">
        <v>329</v>
      </c>
      <c r="F91" s="167" t="s">
        <v>23</v>
      </c>
      <c r="G91" s="167" t="s">
        <v>330</v>
      </c>
      <c r="H91" s="167" t="s">
        <v>203</v>
      </c>
      <c r="I91" s="181">
        <v>650000</v>
      </c>
      <c r="J91" s="181">
        <v>600000</v>
      </c>
      <c r="K91" s="193"/>
      <c r="L91" s="183"/>
    </row>
    <row r="92" spans="3:12" ht="18" customHeight="1">
      <c r="C92" s="244"/>
      <c r="D92" s="244"/>
      <c r="E92" s="253"/>
      <c r="F92" s="328" t="s">
        <v>22</v>
      </c>
      <c r="G92" s="268"/>
      <c r="H92" s="269"/>
      <c r="I92" s="184">
        <v>650000</v>
      </c>
      <c r="J92" s="184">
        <v>600000</v>
      </c>
      <c r="K92" s="185"/>
      <c r="L92" s="180"/>
    </row>
    <row r="93" spans="3:12" ht="18" customHeight="1">
      <c r="C93" s="244"/>
      <c r="D93" s="244"/>
      <c r="E93" s="262" t="s">
        <v>166</v>
      </c>
      <c r="F93" s="163" t="s">
        <v>11</v>
      </c>
      <c r="G93" s="163" t="s">
        <v>331</v>
      </c>
      <c r="H93" s="163" t="s">
        <v>213</v>
      </c>
      <c r="I93" s="178">
        <v>1014400</v>
      </c>
      <c r="J93" s="178">
        <v>350000</v>
      </c>
      <c r="K93" s="186">
        <f t="shared" ref="K93:K105" si="11">J93/I93</f>
        <v>0.34503154574132494</v>
      </c>
      <c r="L93" s="180"/>
    </row>
    <row r="94" spans="3:12" ht="18" customHeight="1">
      <c r="C94" s="244"/>
      <c r="D94" s="244"/>
      <c r="E94" s="253"/>
      <c r="F94" s="328" t="s">
        <v>22</v>
      </c>
      <c r="G94" s="268"/>
      <c r="H94" s="269"/>
      <c r="I94" s="184">
        <v>1014400</v>
      </c>
      <c r="J94" s="184">
        <f>J93</f>
        <v>350000</v>
      </c>
      <c r="K94" s="185">
        <f t="shared" si="11"/>
        <v>0.34503154574132494</v>
      </c>
      <c r="L94" s="180"/>
    </row>
    <row r="95" spans="3:12" ht="18" customHeight="1">
      <c r="C95" s="244"/>
      <c r="D95" s="253"/>
      <c r="E95" s="327" t="s">
        <v>72</v>
      </c>
      <c r="F95" s="268"/>
      <c r="G95" s="268"/>
      <c r="H95" s="269"/>
      <c r="I95" s="188">
        <v>1664400</v>
      </c>
      <c r="J95" s="188">
        <f>SUM(J94,J90,J88,J92,J84,J81)</f>
        <v>4740000</v>
      </c>
      <c r="K95" s="189">
        <f t="shared" si="11"/>
        <v>2.8478731074260994</v>
      </c>
      <c r="L95" s="180"/>
    </row>
    <row r="96" spans="3:12" ht="18" customHeight="1">
      <c r="C96" s="244"/>
      <c r="D96" s="262" t="s">
        <v>332</v>
      </c>
      <c r="E96" s="262" t="s">
        <v>162</v>
      </c>
      <c r="F96" s="163" t="s">
        <v>23</v>
      </c>
      <c r="G96" s="163" t="s">
        <v>333</v>
      </c>
      <c r="H96" s="163" t="s">
        <v>216</v>
      </c>
      <c r="I96" s="178">
        <v>26400</v>
      </c>
      <c r="J96" s="195">
        <v>100000</v>
      </c>
      <c r="K96" s="186">
        <f t="shared" si="11"/>
        <v>3.7878787878787881</v>
      </c>
      <c r="L96" s="180"/>
    </row>
    <row r="97" spans="3:12" ht="18" customHeight="1">
      <c r="C97" s="244"/>
      <c r="D97" s="244"/>
      <c r="E97" s="253"/>
      <c r="F97" s="328" t="s">
        <v>22</v>
      </c>
      <c r="G97" s="268"/>
      <c r="H97" s="269"/>
      <c r="I97" s="184">
        <v>26400</v>
      </c>
      <c r="J97" s="196">
        <f t="shared" ref="J97:J98" si="12">J96</f>
        <v>100000</v>
      </c>
      <c r="K97" s="197">
        <f t="shared" si="11"/>
        <v>3.7878787878787881</v>
      </c>
      <c r="L97" s="180"/>
    </row>
    <row r="98" spans="3:12" ht="18" customHeight="1">
      <c r="C98" s="244"/>
      <c r="D98" s="253"/>
      <c r="E98" s="327" t="s">
        <v>72</v>
      </c>
      <c r="F98" s="268"/>
      <c r="G98" s="268"/>
      <c r="H98" s="269"/>
      <c r="I98" s="188">
        <v>26400</v>
      </c>
      <c r="J98" s="198">
        <f t="shared" si="12"/>
        <v>100000</v>
      </c>
      <c r="K98" s="199">
        <f t="shared" si="11"/>
        <v>3.7878787878787881</v>
      </c>
      <c r="L98" s="180"/>
    </row>
    <row r="99" spans="3:12" ht="18" customHeight="1">
      <c r="C99" s="244"/>
      <c r="D99" s="262" t="s">
        <v>334</v>
      </c>
      <c r="E99" s="262" t="s">
        <v>335</v>
      </c>
      <c r="F99" s="163" t="s">
        <v>23</v>
      </c>
      <c r="G99" s="163" t="s">
        <v>74</v>
      </c>
      <c r="H99" s="163" t="s">
        <v>220</v>
      </c>
      <c r="I99" s="178">
        <v>613000</v>
      </c>
      <c r="J99" s="178">
        <v>600000</v>
      </c>
      <c r="K99" s="186">
        <f t="shared" si="11"/>
        <v>0.97879282218597063</v>
      </c>
      <c r="L99" s="180"/>
    </row>
    <row r="100" spans="3:12" ht="18" customHeight="1">
      <c r="C100" s="244"/>
      <c r="D100" s="244"/>
      <c r="E100" s="244"/>
      <c r="F100" s="163" t="s">
        <v>23</v>
      </c>
      <c r="G100" s="163" t="s">
        <v>336</v>
      </c>
      <c r="H100" s="163" t="s">
        <v>337</v>
      </c>
      <c r="I100" s="178">
        <v>210000</v>
      </c>
      <c r="J100" s="178">
        <v>250000</v>
      </c>
      <c r="K100" s="186">
        <f t="shared" si="11"/>
        <v>1.1904761904761905</v>
      </c>
      <c r="L100" s="180"/>
    </row>
    <row r="101" spans="3:12" ht="18" customHeight="1">
      <c r="C101" s="244"/>
      <c r="D101" s="244"/>
      <c r="E101" s="244"/>
      <c r="F101" s="163" t="s">
        <v>23</v>
      </c>
      <c r="G101" s="163" t="s">
        <v>338</v>
      </c>
      <c r="H101" s="163" t="s">
        <v>339</v>
      </c>
      <c r="I101" s="178">
        <v>606100</v>
      </c>
      <c r="J101" s="178">
        <v>600000</v>
      </c>
      <c r="K101" s="186">
        <f t="shared" si="11"/>
        <v>0.98993565418247809</v>
      </c>
      <c r="L101" s="180"/>
    </row>
    <row r="102" spans="3:12" ht="18" customHeight="1">
      <c r="C102" s="244"/>
      <c r="D102" s="244"/>
      <c r="E102" s="244"/>
      <c r="F102" s="163" t="s">
        <v>23</v>
      </c>
      <c r="G102" s="163" t="s">
        <v>340</v>
      </c>
      <c r="H102" s="163" t="s">
        <v>341</v>
      </c>
      <c r="I102" s="178">
        <v>133000</v>
      </c>
      <c r="J102" s="178">
        <v>150000</v>
      </c>
      <c r="K102" s="186">
        <f t="shared" si="11"/>
        <v>1.1278195488721805</v>
      </c>
      <c r="L102" s="180"/>
    </row>
    <row r="103" spans="3:12" ht="18" customHeight="1">
      <c r="C103" s="244"/>
      <c r="D103" s="244"/>
      <c r="E103" s="244"/>
      <c r="F103" s="163" t="s">
        <v>23</v>
      </c>
      <c r="G103" s="163" t="s">
        <v>342</v>
      </c>
      <c r="H103" s="163" t="s">
        <v>343</v>
      </c>
      <c r="I103" s="178">
        <v>500000</v>
      </c>
      <c r="J103" s="178">
        <v>500000</v>
      </c>
      <c r="K103" s="186">
        <f t="shared" si="11"/>
        <v>1</v>
      </c>
      <c r="L103" s="180"/>
    </row>
    <row r="104" spans="3:12" ht="18" customHeight="1">
      <c r="C104" s="244"/>
      <c r="D104" s="244"/>
      <c r="E104" s="244"/>
      <c r="F104" s="163" t="s">
        <v>23</v>
      </c>
      <c r="G104" s="163" t="s">
        <v>224</v>
      </c>
      <c r="H104" s="163" t="s">
        <v>344</v>
      </c>
      <c r="I104" s="178">
        <v>969900</v>
      </c>
      <c r="J104" s="178">
        <v>1000000</v>
      </c>
      <c r="K104" s="186">
        <f t="shared" si="11"/>
        <v>1.0310341272296113</v>
      </c>
      <c r="L104" s="180"/>
    </row>
    <row r="105" spans="3:12" ht="18" customHeight="1">
      <c r="C105" s="244"/>
      <c r="D105" s="244"/>
      <c r="E105" s="253"/>
      <c r="F105" s="328" t="s">
        <v>22</v>
      </c>
      <c r="G105" s="268"/>
      <c r="H105" s="269"/>
      <c r="I105" s="184">
        <v>3032000</v>
      </c>
      <c r="J105" s="184">
        <f>SUM(J99:J104)</f>
        <v>3100000</v>
      </c>
      <c r="K105" s="185">
        <f t="shared" si="11"/>
        <v>1.0224274406332454</v>
      </c>
      <c r="L105" s="180"/>
    </row>
    <row r="106" spans="3:12" ht="18" customHeight="1">
      <c r="C106" s="244"/>
      <c r="D106" s="244"/>
      <c r="E106" s="262" t="s">
        <v>91</v>
      </c>
      <c r="F106" s="163" t="s">
        <v>11</v>
      </c>
      <c r="G106" s="163" t="s">
        <v>91</v>
      </c>
      <c r="H106" s="163" t="s">
        <v>222</v>
      </c>
      <c r="I106" s="178">
        <v>0</v>
      </c>
      <c r="J106" s="178">
        <v>1000000</v>
      </c>
      <c r="K106" s="185"/>
      <c r="L106" s="180"/>
    </row>
    <row r="107" spans="3:12" ht="18" customHeight="1">
      <c r="C107" s="244"/>
      <c r="D107" s="244"/>
      <c r="E107" s="244"/>
      <c r="F107" s="163" t="s">
        <v>19</v>
      </c>
      <c r="G107" s="163" t="s">
        <v>91</v>
      </c>
      <c r="H107" s="163" t="s">
        <v>19</v>
      </c>
      <c r="I107" s="178">
        <v>1084720</v>
      </c>
      <c r="J107" s="178" t="s">
        <v>19</v>
      </c>
      <c r="K107" s="185"/>
      <c r="L107" s="180"/>
    </row>
    <row r="108" spans="3:12" ht="18" customHeight="1">
      <c r="C108" s="244"/>
      <c r="D108" s="244"/>
      <c r="E108" s="253"/>
      <c r="F108" s="328" t="s">
        <v>22</v>
      </c>
      <c r="G108" s="268"/>
      <c r="H108" s="269"/>
      <c r="I108" s="184">
        <v>0</v>
      </c>
      <c r="J108" s="184">
        <f>SUM(J106,J107)</f>
        <v>1000000</v>
      </c>
      <c r="K108" s="185"/>
      <c r="L108" s="180"/>
    </row>
    <row r="109" spans="3:12" ht="18" customHeight="1">
      <c r="C109" s="244"/>
      <c r="D109" s="253"/>
      <c r="E109" s="327" t="s">
        <v>72</v>
      </c>
      <c r="F109" s="268"/>
      <c r="G109" s="268"/>
      <c r="H109" s="269"/>
      <c r="I109" s="188">
        <v>3032000</v>
      </c>
      <c r="J109" s="188">
        <f>SUM(J105,J108)</f>
        <v>4100000</v>
      </c>
      <c r="K109" s="185">
        <f>J109/I109</f>
        <v>1.3522427440633245</v>
      </c>
      <c r="L109" s="180"/>
    </row>
    <row r="110" spans="3:12" ht="18" customHeight="1">
      <c r="C110" s="244"/>
      <c r="D110" s="262" t="s">
        <v>345</v>
      </c>
      <c r="E110" s="262" t="s">
        <v>346</v>
      </c>
      <c r="F110" s="163" t="s">
        <v>23</v>
      </c>
      <c r="G110" s="163" t="s">
        <v>286</v>
      </c>
      <c r="H110" s="163" t="s">
        <v>225</v>
      </c>
      <c r="I110" s="178">
        <v>0</v>
      </c>
      <c r="J110" s="178">
        <v>700000</v>
      </c>
      <c r="K110" s="186"/>
      <c r="L110" s="180"/>
    </row>
    <row r="111" spans="3:12" ht="18" customHeight="1">
      <c r="C111" s="244"/>
      <c r="D111" s="244"/>
      <c r="E111" s="244"/>
      <c r="F111" s="163" t="s">
        <v>23</v>
      </c>
      <c r="G111" s="163" t="s">
        <v>281</v>
      </c>
      <c r="H111" s="163" t="s">
        <v>347</v>
      </c>
      <c r="I111" s="178">
        <v>0</v>
      </c>
      <c r="J111" s="178">
        <v>700000</v>
      </c>
      <c r="K111" s="186"/>
      <c r="L111" s="180"/>
    </row>
    <row r="112" spans="3:12" ht="18" customHeight="1">
      <c r="C112" s="244"/>
      <c r="D112" s="244"/>
      <c r="E112" s="244"/>
      <c r="F112" s="163" t="s">
        <v>23</v>
      </c>
      <c r="G112" s="163" t="s">
        <v>287</v>
      </c>
      <c r="H112" s="163" t="s">
        <v>348</v>
      </c>
      <c r="I112" s="178">
        <v>0</v>
      </c>
      <c r="J112" s="178">
        <v>500000</v>
      </c>
      <c r="K112" s="186"/>
      <c r="L112" s="180"/>
    </row>
    <row r="113" spans="3:12" ht="18" customHeight="1">
      <c r="C113" s="244"/>
      <c r="D113" s="244"/>
      <c r="E113" s="244"/>
      <c r="F113" s="163" t="s">
        <v>23</v>
      </c>
      <c r="G113" s="163" t="s">
        <v>349</v>
      </c>
      <c r="H113" s="163" t="s">
        <v>350</v>
      </c>
      <c r="I113" s="178">
        <v>0</v>
      </c>
      <c r="J113" s="178">
        <v>600000</v>
      </c>
      <c r="K113" s="186"/>
      <c r="L113" s="180"/>
    </row>
    <row r="114" spans="3:12" ht="18" customHeight="1">
      <c r="C114" s="244"/>
      <c r="D114" s="244"/>
      <c r="E114" s="244"/>
      <c r="F114" s="163" t="s">
        <v>23</v>
      </c>
      <c r="G114" s="163" t="s">
        <v>351</v>
      </c>
      <c r="H114" s="163" t="s">
        <v>352</v>
      </c>
      <c r="I114" s="178">
        <v>0</v>
      </c>
      <c r="J114" s="178">
        <v>400000</v>
      </c>
      <c r="K114" s="186"/>
      <c r="L114" s="180"/>
    </row>
    <row r="115" spans="3:12" ht="18" customHeight="1">
      <c r="C115" s="244"/>
      <c r="D115" s="244"/>
      <c r="E115" s="244"/>
      <c r="F115" s="163" t="s">
        <v>23</v>
      </c>
      <c r="G115" s="163" t="s">
        <v>353</v>
      </c>
      <c r="H115" s="163" t="s">
        <v>354</v>
      </c>
      <c r="I115" s="178">
        <v>0</v>
      </c>
      <c r="J115" s="178">
        <v>300000</v>
      </c>
      <c r="K115" s="186"/>
      <c r="L115" s="180"/>
    </row>
    <row r="116" spans="3:12" ht="18" customHeight="1">
      <c r="C116" s="244"/>
      <c r="D116" s="244"/>
      <c r="E116" s="244"/>
      <c r="F116" s="163" t="s">
        <v>23</v>
      </c>
      <c r="G116" s="163" t="s">
        <v>355</v>
      </c>
      <c r="H116" s="163" t="s">
        <v>356</v>
      </c>
      <c r="I116" s="178">
        <v>0</v>
      </c>
      <c r="J116" s="178">
        <v>200000</v>
      </c>
      <c r="K116" s="186"/>
      <c r="L116" s="180"/>
    </row>
    <row r="117" spans="3:12" ht="18" customHeight="1">
      <c r="C117" s="244"/>
      <c r="D117" s="244"/>
      <c r="E117" s="253"/>
      <c r="F117" s="328" t="s">
        <v>22</v>
      </c>
      <c r="G117" s="268"/>
      <c r="H117" s="269"/>
      <c r="I117" s="184">
        <v>0</v>
      </c>
      <c r="J117" s="184">
        <f>SUM(J110:J116)</f>
        <v>3400000</v>
      </c>
      <c r="K117" s="185"/>
      <c r="L117" s="180"/>
    </row>
    <row r="118" spans="3:12" ht="18" customHeight="1">
      <c r="C118" s="244"/>
      <c r="D118" s="253"/>
      <c r="E118" s="327" t="s">
        <v>72</v>
      </c>
      <c r="F118" s="268"/>
      <c r="G118" s="268"/>
      <c r="H118" s="269"/>
      <c r="I118" s="188">
        <v>0</v>
      </c>
      <c r="J118" s="188">
        <f>J117</f>
        <v>3400000</v>
      </c>
      <c r="K118" s="189"/>
      <c r="L118" s="325"/>
    </row>
    <row r="119" spans="3:12" ht="18" customHeight="1">
      <c r="C119" s="244"/>
      <c r="D119" s="330" t="s">
        <v>247</v>
      </c>
      <c r="E119" s="268"/>
      <c r="F119" s="268"/>
      <c r="G119" s="268"/>
      <c r="H119" s="269"/>
      <c r="I119" s="200">
        <v>60060040</v>
      </c>
      <c r="J119" s="201">
        <f>SUM(J118,J109,J98,J95,J78,J67,J40,J29)</f>
        <v>64690000</v>
      </c>
      <c r="K119" s="202">
        <f t="shared" ref="K119:K122" si="13">J119/I119</f>
        <v>1.0770888597476791</v>
      </c>
      <c r="L119" s="244"/>
    </row>
    <row r="120" spans="3:12" ht="18" customHeight="1">
      <c r="C120" s="244"/>
      <c r="D120" s="331" t="s">
        <v>357</v>
      </c>
      <c r="E120" s="268"/>
      <c r="F120" s="268"/>
      <c r="G120" s="268"/>
      <c r="H120" s="269"/>
      <c r="I120" s="203">
        <v>45419310</v>
      </c>
      <c r="J120" s="203">
        <f>SUMIF(F20:F116,"본회계",J20:J116)</f>
        <v>51400000</v>
      </c>
      <c r="K120" s="204">
        <f t="shared" si="13"/>
        <v>1.131677253573425</v>
      </c>
      <c r="L120" s="244"/>
    </row>
    <row r="121" spans="3:12" ht="18" customHeight="1">
      <c r="C121" s="244"/>
      <c r="D121" s="331" t="s">
        <v>358</v>
      </c>
      <c r="E121" s="268"/>
      <c r="F121" s="268"/>
      <c r="G121" s="268"/>
      <c r="H121" s="269"/>
      <c r="I121" s="205">
        <v>6948500</v>
      </c>
      <c r="J121" s="203">
        <f>SUMIF(F20:F116,"학생",J20:J116)</f>
        <v>10100000</v>
      </c>
      <c r="K121" s="204">
        <f t="shared" si="13"/>
        <v>1.4535511261423328</v>
      </c>
      <c r="L121" s="244"/>
    </row>
    <row r="122" spans="3:12" ht="18" customHeight="1">
      <c r="C122" s="253"/>
      <c r="D122" s="332" t="s">
        <v>359</v>
      </c>
      <c r="E122" s="277"/>
      <c r="F122" s="277"/>
      <c r="G122" s="277"/>
      <c r="H122" s="278"/>
      <c r="I122" s="205">
        <v>7692230</v>
      </c>
      <c r="J122" s="206">
        <f>SUMIF(F20:F116,"자치",J20:J116)</f>
        <v>3190000</v>
      </c>
      <c r="K122" s="207">
        <f t="shared" si="13"/>
        <v>0.41470418851230395</v>
      </c>
      <c r="L122" s="253"/>
    </row>
    <row r="123" spans="3:12" ht="18" customHeight="1">
      <c r="C123" s="208"/>
      <c r="D123" s="326"/>
      <c r="E123" s="277"/>
      <c r="F123" s="277"/>
      <c r="G123" s="277"/>
      <c r="H123" s="277"/>
      <c r="I123" s="209"/>
      <c r="J123" s="209"/>
      <c r="K123" s="210"/>
      <c r="L123" s="211"/>
    </row>
    <row r="124" spans="3:12" ht="13"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</row>
    <row r="125" spans="3:12" ht="13"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</row>
    <row r="126" spans="3:12" ht="13">
      <c r="C126" s="212"/>
      <c r="D126" s="212"/>
      <c r="E126" s="212"/>
      <c r="F126" s="212"/>
      <c r="G126" s="212"/>
      <c r="H126" s="312" t="s">
        <v>360</v>
      </c>
      <c r="I126" s="301"/>
      <c r="J126" s="301"/>
      <c r="K126" s="302"/>
      <c r="L126" s="212"/>
    </row>
    <row r="127" spans="3:12" ht="14">
      <c r="C127" s="213"/>
      <c r="D127" s="213"/>
      <c r="E127" s="213"/>
      <c r="F127" s="213"/>
      <c r="G127" s="213"/>
      <c r="H127" s="123" t="s">
        <v>59</v>
      </c>
      <c r="I127" s="124" t="s">
        <v>361</v>
      </c>
      <c r="J127" s="124" t="s">
        <v>362</v>
      </c>
      <c r="K127" s="125" t="s">
        <v>8</v>
      </c>
      <c r="L127" s="213"/>
    </row>
    <row r="128" spans="3:12" ht="14">
      <c r="C128" s="213"/>
      <c r="D128" s="213"/>
      <c r="E128" s="213"/>
      <c r="F128" s="213"/>
      <c r="G128" s="213"/>
      <c r="H128" s="126" t="s">
        <v>230</v>
      </c>
      <c r="I128" s="214">
        <f t="shared" ref="I128:J128" si="14">SUM(H9,H11,H15)</f>
        <v>63556722</v>
      </c>
      <c r="J128" s="215">
        <f t="shared" si="14"/>
        <v>64692501</v>
      </c>
      <c r="K128" s="128">
        <f t="shared" ref="K128:K129" si="15">J128/I128</f>
        <v>1.0178703206247799</v>
      </c>
      <c r="L128" s="213"/>
    </row>
    <row r="129" spans="3:12" ht="14">
      <c r="C129" s="213"/>
      <c r="D129" s="213"/>
      <c r="E129" s="213"/>
      <c r="F129" s="213"/>
      <c r="G129" s="213"/>
      <c r="H129" s="126" t="s">
        <v>60</v>
      </c>
      <c r="I129" s="216">
        <v>60060040</v>
      </c>
      <c r="J129" s="215">
        <f>SUM(J118,J109,J98,J95,J78,J67,J40,J29)</f>
        <v>64690000</v>
      </c>
      <c r="K129" s="128">
        <f t="shared" si="15"/>
        <v>1.0770888597476791</v>
      </c>
      <c r="L129" s="213"/>
    </row>
    <row r="130" spans="3:12" ht="14">
      <c r="C130" s="213"/>
      <c r="D130" s="213"/>
      <c r="E130" s="213"/>
      <c r="F130" s="213"/>
      <c r="G130" s="213"/>
      <c r="H130" s="217" t="s">
        <v>363</v>
      </c>
      <c r="I130" s="131">
        <f t="shared" ref="I130:J130" si="16">I128-I129</f>
        <v>3496682</v>
      </c>
      <c r="J130" s="131">
        <f t="shared" si="16"/>
        <v>2501</v>
      </c>
      <c r="K130" s="227">
        <f>IFERROR(J130/I130, "%")</f>
        <v>7.152494850832875E-4</v>
      </c>
      <c r="L130" s="213"/>
    </row>
    <row r="131" spans="3:12" ht="14">
      <c r="C131" s="213"/>
      <c r="D131" s="213"/>
      <c r="E131" s="213"/>
      <c r="F131" s="213"/>
      <c r="G131" s="213"/>
      <c r="H131" s="148"/>
      <c r="I131" s="149"/>
      <c r="J131" s="149"/>
      <c r="K131" s="150"/>
      <c r="L131" s="213"/>
    </row>
    <row r="132" spans="3:12" ht="14">
      <c r="C132" s="213"/>
      <c r="D132" s="213"/>
      <c r="E132" s="213"/>
      <c r="F132" s="213"/>
      <c r="G132" s="213"/>
      <c r="H132" s="218" t="s">
        <v>11</v>
      </c>
      <c r="I132" s="124" t="s">
        <v>361</v>
      </c>
      <c r="J132" s="151" t="s">
        <v>362</v>
      </c>
      <c r="K132" s="219" t="s">
        <v>232</v>
      </c>
      <c r="L132" s="213"/>
    </row>
    <row r="133" spans="3:12" ht="14">
      <c r="C133" s="213"/>
      <c r="D133" s="213"/>
      <c r="E133" s="213"/>
      <c r="F133" s="213"/>
      <c r="G133" s="213"/>
      <c r="H133" s="220" t="s">
        <v>1</v>
      </c>
      <c r="I133" s="221">
        <f>SUM(H5:H8)</f>
        <v>16537412</v>
      </c>
      <c r="J133" s="222">
        <v>10102501</v>
      </c>
      <c r="K133" s="223">
        <f t="shared" ref="K133:K134" si="17">IFERROR(J133/I133,"-%")</f>
        <v>0.61088766488976631</v>
      </c>
      <c r="L133" s="213"/>
    </row>
    <row r="134" spans="3:12" ht="14">
      <c r="C134" s="213"/>
      <c r="D134" s="213"/>
      <c r="E134" s="213"/>
      <c r="F134" s="213"/>
      <c r="G134" s="213"/>
      <c r="H134" s="220" t="s">
        <v>60</v>
      </c>
      <c r="I134" s="224">
        <v>6948500</v>
      </c>
      <c r="J134" s="221">
        <f>SUMIF(F20:F116,"학생",J20:J116)</f>
        <v>10100000</v>
      </c>
      <c r="K134" s="223">
        <f t="shared" si="17"/>
        <v>1.4535511261423328</v>
      </c>
      <c r="L134" s="213"/>
    </row>
    <row r="135" spans="3:12" ht="14">
      <c r="C135" s="213"/>
      <c r="D135" s="213"/>
      <c r="E135" s="213"/>
      <c r="F135" s="213"/>
      <c r="G135" s="213"/>
      <c r="H135" s="225" t="s">
        <v>231</v>
      </c>
      <c r="I135" s="226">
        <f t="shared" ref="I135:J135" si="18">I133-I134</f>
        <v>9588912</v>
      </c>
      <c r="J135" s="226">
        <f t="shared" si="18"/>
        <v>2501</v>
      </c>
      <c r="K135" s="227">
        <f>IFERROR(J135/I135, "%")</f>
        <v>2.6082208283901241E-4</v>
      </c>
      <c r="L135" s="213"/>
    </row>
    <row r="136" spans="3:12" ht="14">
      <c r="C136" s="213"/>
      <c r="D136" s="213"/>
      <c r="E136" s="213"/>
      <c r="F136" s="213"/>
      <c r="G136" s="213"/>
      <c r="H136" s="26"/>
      <c r="I136" s="28"/>
      <c r="J136" s="28"/>
      <c r="K136" s="152"/>
      <c r="L136" s="213"/>
    </row>
    <row r="137" spans="3:12" ht="14">
      <c r="C137" s="213"/>
      <c r="D137" s="213"/>
      <c r="E137" s="213"/>
      <c r="F137" s="213"/>
      <c r="G137" s="213"/>
      <c r="H137" s="218" t="s">
        <v>23</v>
      </c>
      <c r="I137" s="124" t="s">
        <v>361</v>
      </c>
      <c r="J137" s="151" t="s">
        <v>362</v>
      </c>
      <c r="K137" s="219" t="s">
        <v>232</v>
      </c>
      <c r="L137" s="213"/>
    </row>
    <row r="138" spans="3:12" ht="14">
      <c r="C138" s="213"/>
      <c r="D138" s="213"/>
      <c r="E138" s="213"/>
      <c r="F138" s="213"/>
      <c r="G138" s="213"/>
      <c r="H138" s="220" t="s">
        <v>1</v>
      </c>
      <c r="I138" s="222">
        <v>45419310</v>
      </c>
      <c r="J138" s="222">
        <v>51400000</v>
      </c>
      <c r="K138" s="228">
        <f t="shared" ref="K138:K139" si="19">IFERROR(J138/I138,"-%")</f>
        <v>1.131677253573425</v>
      </c>
      <c r="L138" s="213"/>
    </row>
    <row r="139" spans="3:12" ht="14">
      <c r="C139" s="213"/>
      <c r="D139" s="213"/>
      <c r="E139" s="213"/>
      <c r="F139" s="213"/>
      <c r="G139" s="213"/>
      <c r="H139" s="220" t="s">
        <v>60</v>
      </c>
      <c r="I139" s="229">
        <v>45419310</v>
      </c>
      <c r="J139" s="229">
        <v>51400000</v>
      </c>
      <c r="K139" s="228">
        <f t="shared" si="19"/>
        <v>1.131677253573425</v>
      </c>
      <c r="L139" s="213"/>
    </row>
    <row r="140" spans="3:12" ht="14">
      <c r="H140" s="225" t="s">
        <v>231</v>
      </c>
      <c r="I140" s="226">
        <f t="shared" ref="I140:J140" si="20">I138-I139</f>
        <v>0</v>
      </c>
      <c r="J140" s="226">
        <f t="shared" si="20"/>
        <v>0</v>
      </c>
      <c r="K140" s="227"/>
      <c r="L140" s="230"/>
    </row>
    <row r="141" spans="3:12" ht="14">
      <c r="H141" s="4"/>
      <c r="I141" s="154"/>
      <c r="J141" s="154"/>
      <c r="K141" s="62"/>
      <c r="L141" s="230"/>
    </row>
    <row r="142" spans="3:12" ht="14">
      <c r="H142" s="231" t="s">
        <v>46</v>
      </c>
      <c r="I142" s="124" t="s">
        <v>361</v>
      </c>
      <c r="J142" s="151" t="s">
        <v>362</v>
      </c>
      <c r="K142" s="219" t="s">
        <v>232</v>
      </c>
      <c r="L142" s="230"/>
    </row>
    <row r="143" spans="3:12" ht="14">
      <c r="H143" s="220" t="s">
        <v>1</v>
      </c>
      <c r="I143" s="222">
        <v>1600000</v>
      </c>
      <c r="J143" s="222">
        <v>3190000</v>
      </c>
      <c r="K143" s="223">
        <f t="shared" ref="K143:K144" si="21">IFERROR(J143/I143,"-%")</f>
        <v>1.9937499999999999</v>
      </c>
      <c r="L143" s="230"/>
    </row>
    <row r="144" spans="3:12" ht="14">
      <c r="H144" s="220" t="s">
        <v>60</v>
      </c>
      <c r="I144" s="224">
        <v>7692230</v>
      </c>
      <c r="J144" s="232">
        <v>3190000</v>
      </c>
      <c r="K144" s="223">
        <f t="shared" si="21"/>
        <v>0.41470418851230395</v>
      </c>
      <c r="L144" s="230"/>
    </row>
    <row r="145" spans="8:12" ht="14">
      <c r="H145" s="225" t="s">
        <v>231</v>
      </c>
      <c r="I145" s="226">
        <f t="shared" ref="I145:J145" si="22">I143-I144</f>
        <v>-6092230</v>
      </c>
      <c r="J145" s="226">
        <f t="shared" si="22"/>
        <v>0</v>
      </c>
      <c r="K145" s="227">
        <f>IFERROR(J145/I145, "%")</f>
        <v>0</v>
      </c>
      <c r="L145" s="230"/>
    </row>
  </sheetData>
  <mergeCells count="83">
    <mergeCell ref="E85:E88"/>
    <mergeCell ref="F88:H88"/>
    <mergeCell ref="E75:E77"/>
    <mergeCell ref="F77:H77"/>
    <mergeCell ref="E78:H78"/>
    <mergeCell ref="E79:E81"/>
    <mergeCell ref="F81:H81"/>
    <mergeCell ref="E82:E84"/>
    <mergeCell ref="F84:H84"/>
    <mergeCell ref="E93:E94"/>
    <mergeCell ref="E96:E97"/>
    <mergeCell ref="F97:H97"/>
    <mergeCell ref="E89:E90"/>
    <mergeCell ref="L89:L90"/>
    <mergeCell ref="F90:H90"/>
    <mergeCell ref="E91:E92"/>
    <mergeCell ref="F92:H92"/>
    <mergeCell ref="F94:H94"/>
    <mergeCell ref="E95:H95"/>
    <mergeCell ref="E57:E66"/>
    <mergeCell ref="F66:H66"/>
    <mergeCell ref="E67:H67"/>
    <mergeCell ref="E35:E39"/>
    <mergeCell ref="E41:E44"/>
    <mergeCell ref="F44:H44"/>
    <mergeCell ref="E45:E48"/>
    <mergeCell ref="F48:H48"/>
    <mergeCell ref="E68:E71"/>
    <mergeCell ref="F71:H71"/>
    <mergeCell ref="E72:E74"/>
    <mergeCell ref="F74:H74"/>
    <mergeCell ref="D3:K3"/>
    <mergeCell ref="E5:E8"/>
    <mergeCell ref="E9:G9"/>
    <mergeCell ref="E11:G11"/>
    <mergeCell ref="E12:E14"/>
    <mergeCell ref="E15:G15"/>
    <mergeCell ref="E16:G16"/>
    <mergeCell ref="E20:E26"/>
    <mergeCell ref="F26:H26"/>
    <mergeCell ref="E27:E28"/>
    <mergeCell ref="E32:E34"/>
    <mergeCell ref="D5:D16"/>
    <mergeCell ref="L27:L28"/>
    <mergeCell ref="F28:H28"/>
    <mergeCell ref="E29:H29"/>
    <mergeCell ref="L30:L31"/>
    <mergeCell ref="E30:E31"/>
    <mergeCell ref="F31:H31"/>
    <mergeCell ref="L32:L34"/>
    <mergeCell ref="F34:H34"/>
    <mergeCell ref="F39:H39"/>
    <mergeCell ref="E40:H40"/>
    <mergeCell ref="E53:E56"/>
    <mergeCell ref="L53:L56"/>
    <mergeCell ref="F56:H56"/>
    <mergeCell ref="E49:E52"/>
    <mergeCell ref="F52:H52"/>
    <mergeCell ref="C20:C122"/>
    <mergeCell ref="D20:D29"/>
    <mergeCell ref="D30:D40"/>
    <mergeCell ref="D41:D67"/>
    <mergeCell ref="D68:D78"/>
    <mergeCell ref="D79:D95"/>
    <mergeCell ref="D110:D118"/>
    <mergeCell ref="D119:H119"/>
    <mergeCell ref="D120:H120"/>
    <mergeCell ref="D121:H121"/>
    <mergeCell ref="D122:H122"/>
    <mergeCell ref="D96:D98"/>
    <mergeCell ref="D99:D109"/>
    <mergeCell ref="E99:E105"/>
    <mergeCell ref="E106:E108"/>
    <mergeCell ref="E110:E117"/>
    <mergeCell ref="L118:L122"/>
    <mergeCell ref="H126:K126"/>
    <mergeCell ref="D123:H123"/>
    <mergeCell ref="E98:H98"/>
    <mergeCell ref="F105:H105"/>
    <mergeCell ref="F108:H108"/>
    <mergeCell ref="E109:H109"/>
    <mergeCell ref="F117:H117"/>
    <mergeCell ref="E118:H118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상반기 예산안 (태울석림제, 운영비)</vt:lpstr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2022-03-09T09:39:02Z</dcterms:created>
  <dcterms:modified xsi:type="dcterms:W3CDTF">2022-03-09T09:45:26Z</dcterms:modified>
</cp:coreProperties>
</file>